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M:\WaterBoard\2022 PLAN UPDATE\Task 10 - Cost Benefit\"/>
    </mc:Choice>
  </mc:AlternateContent>
  <xr:revisionPtr revIDLastSave="0" documentId="13_ncr:1_{52D0BC79-F5B0-428E-948E-417FF5DCDABD}" xr6:coauthVersionLast="47" xr6:coauthVersionMax="47" xr10:uidLastSave="{00000000-0000-0000-0000-000000000000}"/>
  <bookViews>
    <workbookView xWindow="31140" yWindow="585" windowWidth="22935" windowHeight="12255" xr2:uid="{F689C51D-A2BA-4860-9CE4-3D898EC6ED80}"/>
  </bookViews>
  <sheets>
    <sheet name="BCA-Showerhead BCA" sheetId="3" r:id="rId1"/>
    <sheet name="BCA-Res Clothes Washer FL" sheetId="11" r:id="rId2"/>
    <sheet name="BCA-Res Clothes Washer TL" sheetId="25" r:id="rId3"/>
    <sheet name="BCA-Com HVAC Cooling Towers" sheetId="32" r:id="rId4"/>
    <sheet name="BCA- Irrigation Controller" sheetId="31" r:id="rId5"/>
    <sheet name="BCA-Sprinkler Bodies" sheetId="30" r:id="rId6"/>
    <sheet name="H20 Capacity Cost" sheetId="2" r:id="rId7"/>
    <sheet name="H20 Variable Production Cost" sheetId="1" r:id="rId8"/>
    <sheet name="Water&amp;Sewer Retail Cost" sheetId="33" r:id="rId9"/>
    <sheet name="Natural Gas Retail Cost" sheetId="5" r:id="rId10"/>
    <sheet name="Electricity Retail Cost" sheetId="9" r:id="rId11"/>
    <sheet name="CO2 Emission Costs" sheetId="12" r:id="rId12"/>
    <sheet name="Air Quality Costs" sheetId="13"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3" l="1"/>
  <c r="E15" i="33"/>
  <c r="B27" i="31" s="1"/>
  <c r="B28" i="31" s="1"/>
  <c r="D15" i="33"/>
  <c r="E14" i="33"/>
  <c r="E13" i="33"/>
  <c r="H20" i="33"/>
  <c r="H17" i="33"/>
  <c r="E12" i="33"/>
  <c r="H14" i="33"/>
  <c r="E11" i="33"/>
  <c r="E10" i="33"/>
  <c r="D9" i="33"/>
  <c r="E9" i="33" s="1"/>
  <c r="E8" i="33"/>
  <c r="E7" i="33"/>
  <c r="E6" i="33"/>
  <c r="E5" i="33"/>
  <c r="E4" i="33"/>
  <c r="B15" i="33"/>
  <c r="C15" i="33" s="1"/>
  <c r="B28" i="30"/>
  <c r="B29" i="30"/>
  <c r="B25" i="31"/>
  <c r="B26" i="31"/>
  <c r="B42" i="32"/>
  <c r="B41" i="32"/>
  <c r="B40" i="25"/>
  <c r="B41" i="11"/>
  <c r="B39" i="11"/>
  <c r="B40" i="11"/>
  <c r="B36" i="11"/>
  <c r="B35" i="11"/>
  <c r="B41" i="3"/>
  <c r="B40" i="3"/>
  <c r="B39" i="3"/>
  <c r="B4" i="25"/>
  <c r="B35" i="25" s="1"/>
  <c r="B37" i="3" l="1"/>
  <c r="B37" i="11"/>
  <c r="B38" i="11" s="1"/>
  <c r="B42" i="11" s="1"/>
  <c r="B30" i="30"/>
  <c r="B43" i="32"/>
  <c r="B44" i="32" s="1"/>
  <c r="B45" i="32" s="1"/>
  <c r="B37" i="25"/>
  <c r="B31" i="30"/>
  <c r="B32" i="30" s="1"/>
  <c r="B29" i="31"/>
  <c r="B11" i="30"/>
  <c r="B23" i="32"/>
  <c r="B31" i="11" l="1"/>
  <c r="B16" i="11"/>
  <c r="B8" i="11"/>
  <c r="B13" i="32" l="1"/>
  <c r="B15" i="32" s="1"/>
  <c r="B12" i="32"/>
  <c r="B7" i="32"/>
  <c r="B4" i="31"/>
  <c r="B9" i="31"/>
  <c r="B10" i="31" s="1"/>
  <c r="B12" i="30"/>
  <c r="B13" i="30" s="1"/>
  <c r="B4" i="30"/>
  <c r="B6" i="30" s="1"/>
  <c r="B20" i="32" l="1"/>
  <c r="B21" i="32" s="1"/>
  <c r="B24" i="32"/>
  <c r="B25" i="32" s="1"/>
  <c r="B24" i="30"/>
  <c r="B21" i="31"/>
  <c r="B20" i="31"/>
  <c r="B23" i="30"/>
  <c r="B26" i="32" l="1"/>
  <c r="B37" i="32" s="1"/>
  <c r="B36" i="32"/>
  <c r="B9" i="25" l="1"/>
  <c r="B8" i="25"/>
  <c r="B11" i="25" s="1"/>
  <c r="B36" i="25" s="1"/>
  <c r="B38" i="25" s="1"/>
  <c r="B14" i="25"/>
  <c r="B16" i="25" s="1"/>
  <c r="B10" i="25"/>
  <c r="B17" i="25" s="1"/>
  <c r="B14" i="11"/>
  <c r="B9" i="11"/>
  <c r="B15" i="25" l="1"/>
  <c r="B30" i="25"/>
  <c r="B18" i="25"/>
  <c r="B39" i="25" s="1"/>
  <c r="B41" i="25" s="1"/>
  <c r="B42" i="25" s="1"/>
  <c r="B15" i="11"/>
  <c r="B31" i="25" l="1"/>
  <c r="B27" i="25"/>
  <c r="B29" i="25"/>
  <c r="R7" i="9"/>
  <c r="Q7" i="9"/>
  <c r="P7" i="9"/>
  <c r="O7" i="9"/>
  <c r="N7" i="9"/>
  <c r="M7" i="9"/>
  <c r="L7" i="9"/>
  <c r="K7" i="9"/>
  <c r="J7" i="9"/>
  <c r="I7" i="9"/>
  <c r="H7" i="9"/>
  <c r="G7" i="9"/>
  <c r="F7" i="9"/>
  <c r="E7" i="9"/>
  <c r="D7" i="9"/>
  <c r="C7" i="9"/>
  <c r="B7" i="9"/>
  <c r="R20" i="5"/>
  <c r="Q20" i="5"/>
  <c r="P20" i="5"/>
  <c r="O20" i="5"/>
  <c r="N20" i="5"/>
  <c r="M20" i="5"/>
  <c r="L20" i="5"/>
  <c r="K20" i="5"/>
  <c r="J20" i="5"/>
  <c r="I20" i="5"/>
  <c r="H20" i="5"/>
  <c r="G20" i="5"/>
  <c r="F20" i="5"/>
  <c r="E20" i="5"/>
  <c r="D20" i="5"/>
  <c r="C20" i="5"/>
  <c r="B20" i="5"/>
  <c r="B5" i="13" l="1"/>
  <c r="B4" i="13"/>
  <c r="B12" i="12"/>
  <c r="B13" i="12" s="1"/>
  <c r="B17" i="3"/>
  <c r="B10" i="11"/>
  <c r="B17" i="11" s="1"/>
  <c r="B27" i="11" l="1"/>
  <c r="B18" i="11"/>
  <c r="B11" i="11"/>
  <c r="B30" i="11" s="1"/>
  <c r="B11" i="3"/>
  <c r="B29" i="11" l="1"/>
  <c r="B4" i="11"/>
  <c r="C5" i="9"/>
  <c r="D5" i="9" s="1"/>
  <c r="E5" i="9" s="1"/>
  <c r="F5" i="9" s="1"/>
  <c r="G5" i="9" s="1"/>
  <c r="H5" i="9" s="1"/>
  <c r="I5" i="9" s="1"/>
  <c r="J5" i="9" s="1"/>
  <c r="K5" i="9" s="1"/>
  <c r="L5" i="9" s="1"/>
  <c r="M5" i="9" s="1"/>
  <c r="N5" i="9" s="1"/>
  <c r="O5" i="9" s="1"/>
  <c r="P5" i="9" s="1"/>
  <c r="B1" i="9"/>
  <c r="B5" i="3"/>
  <c r="B7" i="2"/>
  <c r="C7" i="2" s="1"/>
  <c r="B19" i="2" s="1"/>
  <c r="B16" i="2"/>
  <c r="B18" i="2" s="1"/>
  <c r="E30" i="1"/>
  <c r="C20" i="1"/>
  <c r="D20" i="1" s="1"/>
  <c r="E20" i="1" s="1"/>
  <c r="F20" i="1" s="1"/>
  <c r="G20" i="1" s="1"/>
  <c r="H20" i="1" s="1"/>
  <c r="I20" i="1" s="1"/>
  <c r="J20" i="1" s="1"/>
  <c r="K20" i="1" s="1"/>
  <c r="L20" i="1" s="1"/>
  <c r="M20" i="1" s="1"/>
  <c r="N20" i="1" s="1"/>
  <c r="O20" i="1" s="1"/>
  <c r="P20" i="1" s="1"/>
  <c r="B4" i="3"/>
  <c r="C18" i="5"/>
  <c r="D18" i="5" s="1"/>
  <c r="E18" i="5" s="1"/>
  <c r="F18" i="5" s="1"/>
  <c r="G18" i="5" s="1"/>
  <c r="H18" i="5" s="1"/>
  <c r="I18" i="5" s="1"/>
  <c r="J18" i="5" s="1"/>
  <c r="K18" i="5" s="1"/>
  <c r="L18" i="5" s="1"/>
  <c r="M18" i="5" s="1"/>
  <c r="N18" i="5" s="1"/>
  <c r="O18" i="5" s="1"/>
  <c r="P18" i="5" s="1"/>
  <c r="B13" i="5"/>
  <c r="B12" i="3"/>
  <c r="B16" i="1"/>
  <c r="C16" i="1" s="1"/>
  <c r="B22" i="1" s="1"/>
  <c r="C22" i="1" s="1"/>
  <c r="D22" i="1" s="1"/>
  <c r="E22" i="1" l="1"/>
  <c r="F22" i="1" s="1"/>
  <c r="G22" i="1" s="1"/>
  <c r="H22" i="1" s="1"/>
  <c r="I22" i="1" s="1"/>
  <c r="J22" i="1" s="1"/>
  <c r="K22" i="1" s="1"/>
  <c r="L22" i="1" s="1"/>
  <c r="M22" i="1" s="1"/>
  <c r="N22" i="1" s="1"/>
  <c r="O22" i="1" s="1"/>
  <c r="P22" i="1" s="1"/>
  <c r="Q22" i="1" s="1"/>
  <c r="R22" i="1" s="1"/>
  <c r="B21" i="30"/>
  <c r="B34" i="32"/>
  <c r="B26" i="25"/>
  <c r="B6" i="3"/>
  <c r="B35" i="3" s="1"/>
  <c r="B30" i="3"/>
  <c r="B36" i="3"/>
  <c r="B38" i="3" s="1"/>
  <c r="B42" i="3" s="1"/>
  <c r="B31" i="3"/>
  <c r="B17" i="31"/>
  <c r="B20" i="30"/>
  <c r="B33" i="32"/>
  <c r="B25" i="25"/>
  <c r="B26" i="11"/>
  <c r="B18" i="3"/>
  <c r="B29" i="3" s="1"/>
  <c r="B18" i="31" l="1"/>
  <c r="B28" i="25"/>
  <c r="B32" i="25"/>
  <c r="B25" i="30"/>
  <c r="B22" i="30"/>
  <c r="B38" i="32"/>
  <c r="B35" i="32"/>
  <c r="B22" i="31"/>
  <c r="B19" i="31"/>
  <c r="B25" i="3"/>
  <c r="B25" i="11"/>
  <c r="B32" i="11" s="1"/>
  <c r="B27" i="3"/>
  <c r="B28" i="3" l="1"/>
  <c r="B32" i="3"/>
  <c r="B28" i="11"/>
</calcChain>
</file>

<file path=xl/sharedStrings.xml><?xml version="1.0" encoding="utf-8"?>
<sst xmlns="http://schemas.openxmlformats.org/spreadsheetml/2006/main" count="474" uniqueCount="254">
  <si>
    <t>Approximate
Population
Served</t>
  </si>
  <si>
    <t>Basis, Sources, Notes</t>
  </si>
  <si>
    <t>WaterSense Specification for Showerheads Supporting Statement, Mar 2010</t>
  </si>
  <si>
    <t>Gas</t>
  </si>
  <si>
    <t>Hot Water Portion of Water Use</t>
  </si>
  <si>
    <t>Product Useful Life</t>
  </si>
  <si>
    <t>Discount Rate</t>
  </si>
  <si>
    <t>Estimate from US Housing and Urban Development Capital Needs Assessment e-Tool Estimated Useful Life Table</t>
  </si>
  <si>
    <t>Average based on 2020 NAHB data on number of bathrooms in new homes</t>
  </si>
  <si>
    <t>Average retail price information gathered by the District</t>
  </si>
  <si>
    <t>psc.ga.gov/site/assets/files/6263/september_2021_fixed_pricing.pdf</t>
  </si>
  <si>
    <t>$/Therm</t>
  </si>
  <si>
    <t>Provider</t>
  </si>
  <si>
    <t>Constellation</t>
  </si>
  <si>
    <t>Fuel Georgia</t>
  </si>
  <si>
    <t>Gas South</t>
  </si>
  <si>
    <t>Town Square Energy</t>
  </si>
  <si>
    <t>Georgia Natural Gas</t>
  </si>
  <si>
    <t>SCANA</t>
  </si>
  <si>
    <t>Stream Energy</t>
  </si>
  <si>
    <t>True Natural Gas</t>
  </si>
  <si>
    <t>Walton EMC Natural Gas</t>
  </si>
  <si>
    <t>Xoom Energy</t>
  </si>
  <si>
    <t>Average</t>
  </si>
  <si>
    <t>See Natural Gas Cost tab</t>
  </si>
  <si>
    <t>$/gal</t>
  </si>
  <si>
    <t>Avoided H20 Capacity Cost</t>
  </si>
  <si>
    <t>Avoided H20 Variable Production Cost</t>
  </si>
  <si>
    <t>Weighted Average</t>
  </si>
  <si>
    <t>Present Value</t>
  </si>
  <si>
    <t>Assumptions for Present Value Calculations</t>
  </si>
  <si>
    <t>Benefits per Household</t>
  </si>
  <si>
    <t>Annual Avoided Water Use Per Household</t>
  </si>
  <si>
    <t>Cost per Household of Proposed Change</t>
  </si>
  <si>
    <t>Annual Avoided Natural Gas Use per Household</t>
  </si>
  <si>
    <t>Current Code Showerhead in gallons per minute</t>
  </si>
  <si>
    <t>Proposed Code Showerhead in gallons per minute</t>
  </si>
  <si>
    <t>Annual Minutes of Usage per Household</t>
  </si>
  <si>
    <t>Impelmentation Year</t>
  </si>
  <si>
    <t>Projected Future Price ($/gal)</t>
  </si>
  <si>
    <t>Annual Average</t>
  </si>
  <si>
    <t>Hot Water Energy Use Rate (therm/gal)</t>
  </si>
  <si>
    <t>Annual Avoided Water Use per Household (gal)</t>
  </si>
  <si>
    <t>Annual Avoided Energy Use per Household (therm)</t>
  </si>
  <si>
    <t>Metric Tons C02 per Therm</t>
  </si>
  <si>
    <t>Projected Future Retail Price - $/therm</t>
  </si>
  <si>
    <t>Present Value $ / Metric Ton C02 at 5% Discount Rate</t>
  </si>
  <si>
    <t>Social Cost of Carbon Estimate</t>
  </si>
  <si>
    <t>Retail Gas Costs</t>
  </si>
  <si>
    <t>Notes</t>
  </si>
  <si>
    <t>Source</t>
  </si>
  <si>
    <t>Persons per household</t>
  </si>
  <si>
    <t>GPHD - Total Water Use</t>
  </si>
  <si>
    <t>Regional Peaking Factor</t>
  </si>
  <si>
    <t>Peak GPHD</t>
  </si>
  <si>
    <t>See H20 Variable Production Cost tab</t>
  </si>
  <si>
    <t>See H20 Capacity Cost Tab</t>
  </si>
  <si>
    <t>"System Development Charges" - 2021 Water and Sewer Rate Resolution</t>
  </si>
  <si>
    <t>"Water Capital Cost Recovery Fee" - Resolution-R-2019-06</t>
  </si>
  <si>
    <t>Average # of Showers Per New Home</t>
  </si>
  <si>
    <t>Clayton County Water Authority</t>
  </si>
  <si>
    <t>City of Cartersville</t>
  </si>
  <si>
    <t>Douglasville-Douglas County Water and Sewer Authority</t>
  </si>
  <si>
    <t>"Tap-on Fee" - Water and Sewer Rates and Charges effective Dec. 1, 2017</t>
  </si>
  <si>
    <t>Fulton County</t>
  </si>
  <si>
    <t>Gwinnett County</t>
  </si>
  <si>
    <t>Rockdale County</t>
  </si>
  <si>
    <t>Avoided Natural Gas Retail Cost</t>
  </si>
  <si>
    <t>Retail Electricity Cost - GPC Residential $ / kWh</t>
  </si>
  <si>
    <t>Projected Future Retail Price - $/kWh</t>
  </si>
  <si>
    <t>Assumes average customer is being charged the third tier rate in summer and winter with household usage above 1,000 kWh. Used Georgia Power because it services the most customers in metro Atlanta</t>
  </si>
  <si>
    <t>Current Code - DOE Standard</t>
  </si>
  <si>
    <t>Proposed Code - Energy Star</t>
  </si>
  <si>
    <t>Loads Per year</t>
  </si>
  <si>
    <t>0.3 loads/person/d x 2.66 persons/house x 365 d/yr, Res Kitchen&amp;Laundry, EPA WaterSense, Nov 2017</t>
  </si>
  <si>
    <t>Water Heater Energy Source</t>
  </si>
  <si>
    <t>Equation 9 from WaterSense Specification for Showerheads Supporting Statement, March 2010</t>
  </si>
  <si>
    <t>US EPA Consumer Messaging Guide for Energy Star Certified Appliances</t>
  </si>
  <si>
    <t>Metric Tons C02 per kWh</t>
  </si>
  <si>
    <t>This value is derived from the EPA's Greenhouse Gases Equivalencies Calculator available at https://www.epa.gov/energy/greenhouse-gases-equivalencies-calculator-calculations-and-references</t>
  </si>
  <si>
    <t>See Electricity Cost Tab</t>
  </si>
  <si>
    <t>Water Capacity Value - $ per gallon of capacity</t>
  </si>
  <si>
    <t xml:space="preserve">Used minimum because District does not import water from far away, which avoids </t>
  </si>
  <si>
    <t xml:space="preserve">Source: A Survey of Energy Use in Water Companies, An ACEE White Paper, Rachel Young, June 2015. </t>
  </si>
  <si>
    <t>Sourcing &amp; Conveyance (Min) kWh/MG</t>
  </si>
  <si>
    <t>Treatment (Mean) kWh/MG</t>
  </si>
  <si>
    <t>Distribution (Mean) kWh/MG</t>
  </si>
  <si>
    <t>Total (kWh/MG)</t>
  </si>
  <si>
    <t>Total (kWh/gallon)</t>
  </si>
  <si>
    <t>Avoided Natural Gas C02 Emissions Cost</t>
  </si>
  <si>
    <t>Avoided H20 Embedded C20 Emissions Cost</t>
  </si>
  <si>
    <t>Avoided Electricity C02 Emissions Cost</t>
  </si>
  <si>
    <t>See H20 Embedded C02 Emissions tab</t>
  </si>
  <si>
    <t>DOE Standard - gal per load at 4 ft^3</t>
  </si>
  <si>
    <t>Unit Size (ft^3)</t>
  </si>
  <si>
    <t>EnergyStar Standard - gal per load at 4 ft^3</t>
  </si>
  <si>
    <t>8.2min/shower x 0.67 shower/person/d x 2.66 persons/house x 365 d - WaterSense Specification for Showerheads Supporting Statement, Mar 2010</t>
  </si>
  <si>
    <t>Data</t>
  </si>
  <si>
    <t>Assumed because gas is most common hot water heating source in the District</t>
  </si>
  <si>
    <t>Avoided H20 Embedded C02 Emissions Cost</t>
  </si>
  <si>
    <t>H20 Embedded Electricity Usage</t>
  </si>
  <si>
    <t>Value</t>
  </si>
  <si>
    <t>Large Utilities without Significant Water Imports</t>
  </si>
  <si>
    <t>Direct Benefits-to-Cost Ratio</t>
  </si>
  <si>
    <t>Direct+Indirect Benefits-to-Cost Ratio</t>
  </si>
  <si>
    <t>Cost of Ozone (O3) Emissions $/kWh - Summer Time</t>
  </si>
  <si>
    <t>Total $kWh - Summer Time</t>
  </si>
  <si>
    <t xml:space="preserve">Total $/kWh - Annualized </t>
  </si>
  <si>
    <t>Assumes summer is June through September</t>
  </si>
  <si>
    <t>Avoided Air Quality  Costs</t>
  </si>
  <si>
    <t>SF Residential Water Use</t>
  </si>
  <si>
    <t>GPCD - Total Water Use (Table 4-4)</t>
  </si>
  <si>
    <t>Rate used by federal government in cost-benefit analysis when cost of regulation affects household consumption. See OMB's Circular A-4.</t>
  </si>
  <si>
    <t>Air Quality Costs from Emissions</t>
  </si>
  <si>
    <t>See Air Quality Costs tab</t>
  </si>
  <si>
    <t>Increased Cost Per Showerhead</t>
  </si>
  <si>
    <t>Current Code - 2.5 gallon per minute showerhead</t>
  </si>
  <si>
    <t>Proposed Code - 2.0 gallon per minute showerhead</t>
  </si>
  <si>
    <t>Upfront cost; current and proposed showerheads involve no difference in labor costs</t>
  </si>
  <si>
    <t>Major Water Utilities*</t>
  </si>
  <si>
    <t>Approximate
Population
Served**</t>
  </si>
  <si>
    <t>Variable Production Costs</t>
  </si>
  <si>
    <t>Source: Population and variable product costs data is from the average from water loss auidt data submitted to the state</t>
  </si>
  <si>
    <t>Average water rate increase from 2008 to 2018 listed in 2019 AWWA/Raftelis 2019 Water and Wastewater Rate Survey, Chart 5</t>
  </si>
  <si>
    <t>Average annual price increase from most recent 10-year history of CPI Consumer Price Index for All Urban Consumers: Utility (Piped) Gas Service in Atlanta-Sandy Springs-Roswell, GA</t>
  </si>
  <si>
    <t>Average annual price increase based on Georgian (all utilities) retail price data from 2010 to 2018 as reported by an S&amp;P Global Market Intelligence Report</t>
  </si>
  <si>
    <t>"System Capacity Fee" - Water and Sewer Serve Fees Rate Schedule</t>
  </si>
  <si>
    <t>**Population numbers are from water loss audits submitted to the sate</t>
  </si>
  <si>
    <t>Georgia Public Service Commission - Filed Rates from September 2021 Pricing Chart - Standard Plans (12 months)</t>
  </si>
  <si>
    <t>Implementation Year</t>
  </si>
  <si>
    <t>See Technical Support Document: Social Cost of Carbon, Methane, and Nitrous Oxide Interim Estimates under Executive Order 13990</t>
  </si>
  <si>
    <t>Cost of PM 2.5 Emissions $/kwh - Summer Time</t>
  </si>
  <si>
    <t>Source: Based on value of a statistical life and premature mortality calculations for energy efficiency from "Air Quality-Related Health Benefits of Energy Efficiency in the US" Abel et. al, Journal of Environmental Science and Technology, 2019, 53, 3987-3998</t>
  </si>
  <si>
    <t>City of Canton</t>
  </si>
  <si>
    <t>Newnan Utilities</t>
  </si>
  <si>
    <t>DeKalb County</t>
  </si>
  <si>
    <t>Cherokee County Water and Sewerage Authority</t>
  </si>
  <si>
    <t>City of Cumming</t>
  </si>
  <si>
    <t>City of Gainesville</t>
  </si>
  <si>
    <t>Henry County Water Authority</t>
  </si>
  <si>
    <t>Annual Avoided Electrcity Use per Household</t>
  </si>
  <si>
    <t>Avoided Electricity Retail Cost</t>
  </si>
  <si>
    <t>Assumed mid-range size. DOE metric for energy efficiency is integrated modified energy factor (IMEF), which is cu.ft./kWh/cycle</t>
  </si>
  <si>
    <t>Assumed mid-range size. DOE metric for energy efficiency is integrated water factor (IWF), which is (gal/cycle/cu.ft.)</t>
  </si>
  <si>
    <t>DOE Standard - kWh per load at 4 ft^3</t>
  </si>
  <si>
    <t>EnergyStar Standard - kWh per load at 4 ft^3</t>
  </si>
  <si>
    <t>Max IWF of 4.7 per DOE standard</t>
  </si>
  <si>
    <t>Max IWF of 3.2 per EnergyStar Version 8.1 Clothes Washer Program</t>
  </si>
  <si>
    <t>Min IMEF of 1.84 per DOE standard</t>
  </si>
  <si>
    <t>Min IMEF of 2.76 per EnergyStar Version 8.1 Clothes Washer Program</t>
  </si>
  <si>
    <t>Max IWF of 6.5 per DOE standard</t>
  </si>
  <si>
    <t>Min IMEF of 1.57 per DOE standard</t>
  </si>
  <si>
    <t>Max IWF of 4.3 per EnergyStar Version 8.1 Clothes Washer Program</t>
  </si>
  <si>
    <t>Min IMEF of 2.06 per EnergyStar Version 8.1 Clothes Washer Program</t>
  </si>
  <si>
    <t>Used medium capacity. DOE metric for energy efficiency is integrated water factor (IWF), which is (gal/cycle/cu.ft.)</t>
  </si>
  <si>
    <t>Used medium capacity. DOE metric for energy efficiency is integrated modified energy factor (IMEF), which is cu.ft./kWh/cycle</t>
  </si>
  <si>
    <t>Cost Per Household for Showerheads</t>
  </si>
  <si>
    <r>
      <t xml:space="preserve">Cost Per Household for Residential Clothes Washer - </t>
    </r>
    <r>
      <rPr>
        <b/>
        <i/>
        <sz val="11"/>
        <color theme="1"/>
        <rFont val="Calibri"/>
        <family val="2"/>
        <scheme val="minor"/>
      </rPr>
      <t>Front Loaders</t>
    </r>
  </si>
  <si>
    <r>
      <t xml:space="preserve">Cost Per Household for Residential Clothes Washer - </t>
    </r>
    <r>
      <rPr>
        <b/>
        <i/>
        <sz val="11"/>
        <color theme="1"/>
        <rFont val="Calibri"/>
        <family val="2"/>
        <scheme val="minor"/>
      </rPr>
      <t>Top Loaders</t>
    </r>
  </si>
  <si>
    <t>Cost Per Home Irrigation System of Proposed Change</t>
  </si>
  <si>
    <t>Annual Avoided Water Use per Home Irrigation System</t>
  </si>
  <si>
    <t>Benefits per Home Irrigation System</t>
  </si>
  <si>
    <t>WaterSense Specification for Spray Sprinkler Bodies Supporting Statement, September 21, 2017</t>
  </si>
  <si>
    <t>Average # of Sprinkler Bodies per System</t>
  </si>
  <si>
    <t>Cost Per Home Irrigation System for Sprinkler Bodies</t>
  </si>
  <si>
    <t>Current Code - Sprinkler Bodies without Pressure Regulation</t>
  </si>
  <si>
    <t>Proposed Code - Sprinkler Bodies with Pressure Regulation</t>
  </si>
  <si>
    <t>Increased Cost Per Sprinkler Body</t>
  </si>
  <si>
    <t>Georgia water loss audit data show average operating pressures in region frequently over 70 psi</t>
  </si>
  <si>
    <t>Percentage Savings Based on Water Pressure</t>
  </si>
  <si>
    <t>Water Pressure Range</t>
  </si>
  <si>
    <t>Annual Landscape Irrigation without Pressure Regulation</t>
  </si>
  <si>
    <t>Annual Landscape Irrigation with Pressure Regulation</t>
  </si>
  <si>
    <t>60+</t>
  </si>
  <si>
    <t>WaterSense Specification for Weather-Based Irrigation Controllers Supporting Statement, November 3, 2011</t>
  </si>
  <si>
    <t>Current Code - Simple Controller</t>
  </si>
  <si>
    <t>Annual Landscape - Simple Controller</t>
  </si>
  <si>
    <t>WaterSense Specification for Spray Sprinkler Bodies Supporting Statement, September 21, 2017 less savings from Soil Moisture-Based Irrigation Controller</t>
  </si>
  <si>
    <t>Avoided Air Quality Costs</t>
  </si>
  <si>
    <t>Cost New Blowdown Controller</t>
  </si>
  <si>
    <t>Conductivity Sensor (3 over 10 years)</t>
  </si>
  <si>
    <t>Cost of Added Features HVAC Cooling Tower</t>
  </si>
  <si>
    <t>Total Added Cost of Proposed Features</t>
  </si>
  <si>
    <t>Makeup Water Flow Meter</t>
  </si>
  <si>
    <t>Benefits per HVAC Cooling Tower</t>
  </si>
  <si>
    <t>Overflow Alarm</t>
  </si>
  <si>
    <t>Escalated from costs cited in Cooling Tower Water Savings, California Utilities Statewide Codes and Standards Team, October 2011, which includes labor costs</t>
  </si>
  <si>
    <t>Blowdown Water Flow Meter</t>
  </si>
  <si>
    <t>Annual Avoided Water Use per HVAC Cooling Tower</t>
  </si>
  <si>
    <t>Annual Avoided Water Use per HVAC Cooling Tower(gal)</t>
  </si>
  <si>
    <t>Drift Percentage</t>
  </si>
  <si>
    <t>Cooling Days Per Year</t>
  </si>
  <si>
    <t>Initial Cycles to Concentration</t>
  </si>
  <si>
    <t>Initial Makeup Water Rate</t>
  </si>
  <si>
    <t>Improved Blowdown Water Rate</t>
  </si>
  <si>
    <t>Improved Makeup Water Rate</t>
  </si>
  <si>
    <t>Load ~ 0.25 to 1 ton/100 SF floor area. 1 ton = 15,000 Btu/hr</t>
  </si>
  <si>
    <t>Estimate based on low hardness in Atlanta region plus treatment chemicals</t>
  </si>
  <si>
    <t>Based on assumed 5 cycles of concentration</t>
  </si>
  <si>
    <t>Proposed target for standard</t>
  </si>
  <si>
    <t>Cooling Tower Load (tons)</t>
  </si>
  <si>
    <t>Evaporation Rate (gpm)</t>
  </si>
  <si>
    <t>Recirculation Rate (gpm)</t>
  </si>
  <si>
    <t>Drift Rate (gpm)</t>
  </si>
  <si>
    <t>Initial Blowdown Water Hardness (mg/L)</t>
  </si>
  <si>
    <t>Initial Blowdown Water Rate (gpm)</t>
  </si>
  <si>
    <t>Improved Blowdown Water Hardness (mg/L)</t>
  </si>
  <si>
    <t>Improved Cycles to Concentration (gpm)</t>
  </si>
  <si>
    <t>Annual Avoided Electricity Use per Household</t>
  </si>
  <si>
    <t xml:space="preserve">Also, if it appears the cost of the meter or installations costs are included in a single number with the capacity fee, then these water systems have also been excluded. </t>
  </si>
  <si>
    <t>*Systems that do not clearly indicate their tap or connection fees are intended to pay for system capacity are excluded from this list.</t>
  </si>
  <si>
    <t>Assumes typical value of 0.03 gpm/ton (based on 1 lb evaporation removes 1000 Btu).</t>
  </si>
  <si>
    <t>Assumes 10 deg F of water cooling and 8.33 Btu/gal/deg F (Based on 1 btu = heat to raise 1 lb water by 1 deg F)</t>
  </si>
  <si>
    <t>Makeup Water TDS (mg/L)</t>
  </si>
  <si>
    <t>June, July, August, and September</t>
  </si>
  <si>
    <t>https://spxcooling.com/wp-content/uploads/AE-AS-24-1.pdf</t>
  </si>
  <si>
    <t>Proposed Code - WaterSense Irrigation Controller</t>
  </si>
  <si>
    <t>Savings Factor from WaterSense Irrigation Controller</t>
  </si>
  <si>
    <t>Annual Landscape Irrigation with WaterSense Irrigation Controller</t>
  </si>
  <si>
    <t>WaterSense Specification for Weather-Based Irrigation Controllers Supporting Statement, November 3, 2011; Used weather-based as conservative assumption because it saves less than moisture-based controller</t>
  </si>
  <si>
    <t>Used latest data on average outdoor water use for homes that actively irrigation from WaterSense Specification for Soil-Based Irrigation Controllers Supporting Statement, February 2021</t>
  </si>
  <si>
    <t>Difference between product cost under the current code and proposed code</t>
  </si>
  <si>
    <t>Capacity Fee - New 5/8 Inch Connection</t>
  </si>
  <si>
    <t xml:space="preserve">City of Cartersville </t>
  </si>
  <si>
    <t>Only shows 3/4-inch, "Capacity Fee" - 2018 Water &amp; Sewer Service Connection Charges</t>
  </si>
  <si>
    <t xml:space="preserve">Simple Payback to Customer </t>
  </si>
  <si>
    <t>Combined Water and Sewer Rate ($/1,000 gal)</t>
  </si>
  <si>
    <t>Annual Water and Sewer Cost Savings to Customer</t>
  </si>
  <si>
    <t>Natural Gas Cost ($/therm)</t>
  </si>
  <si>
    <t>See Natural Gas Retail Cost Tab</t>
  </si>
  <si>
    <t>Annual Natural Gas Cost Savings to Customer</t>
  </si>
  <si>
    <t>Simple Payback to Customer (Years)</t>
  </si>
  <si>
    <t>Annual Avoided Electricity Use per Household (kWh)</t>
  </si>
  <si>
    <t>See Electricity Retail Cost tab</t>
  </si>
  <si>
    <t>Retail Electricity Cost ($ / kWh)</t>
  </si>
  <si>
    <t>Annual Electricity Cost Savings to Customer</t>
  </si>
  <si>
    <t>See Electricity Retail Cost Tab</t>
  </si>
  <si>
    <t>Combined ($/1000)</t>
  </si>
  <si>
    <t>Sewer ($/1000)</t>
  </si>
  <si>
    <t>Water ($/1000)</t>
  </si>
  <si>
    <t>Note - Used same Utilities as Variable Production Cost (except those without web accessible rate data)</t>
  </si>
  <si>
    <t>Fayette County</t>
  </si>
  <si>
    <t>1 CCF / 748  gals</t>
  </si>
  <si>
    <t>1000 gals</t>
  </si>
  <si>
    <t>Atlanta Water</t>
  </si>
  <si>
    <t>Atlanta Sewer</t>
  </si>
  <si>
    <t>Single-Family Residential 2021 Water and Sewer Retail Rates - Using 2nd Tier of Water Rates</t>
  </si>
  <si>
    <t>Gainesville Water (Inside)</t>
  </si>
  <si>
    <t>Gainesville Sewer (Inside)</t>
  </si>
  <si>
    <t>See Water&amp;Sewer Retail Cost Tab</t>
  </si>
  <si>
    <t>Cost Per Installation of Proposed Change</t>
  </si>
  <si>
    <t>Cost Per Installation Irrigation System for WaterSense Irrigation Controller</t>
  </si>
  <si>
    <t>Annual Avoided Water Use per Landscape Irrigation System</t>
  </si>
  <si>
    <t>Annual Avoided Water Use per Installation (gal)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</si>
</sst>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8" formatCode="&quot;$&quot;#,##0.00_);[Red]\(&quot;$&quot;#,##0.00\)"/>
    <numFmt numFmtId="44" formatCode="_(&quot;$&quot;* #,##0.00_);_(&quot;$&quot;* \(#,##0.00\);_(&quot;$&quot;* &quot;-&quot;??_);_(@_)"/>
    <numFmt numFmtId="164" formatCode="#,##0.000"/>
    <numFmt numFmtId="165" formatCode="&quot;$&quot;#,##0.00"/>
    <numFmt numFmtId="166" formatCode="0.0"/>
    <numFmt numFmtId="167" formatCode="_(&quot;$&quot;* #,##0.000_);_(&quot;$&quot;* \(#,##0.000\);_(&quot;$&quot;* &quot;-&quot;??_);_(@_)"/>
    <numFmt numFmtId="168" formatCode="#,##0.0000"/>
    <numFmt numFmtId="169" formatCode="_(&quot;$&quot;* #,##0.0000_);_(&quot;$&quot;* \(#,##0.0000\);_(&quot;$&quot;* &quot;-&quot;??_);_(@_)"/>
    <numFmt numFmtId="170" formatCode="0.0000"/>
    <numFmt numFmtId="171" formatCode="&quot;$&quot;#,##0.000_);[Red]\(&quot;$&quot;#,##0.000\)"/>
    <numFmt numFmtId="172" formatCode="0.000%"/>
    <numFmt numFmtId="173" formatCode="#,##0.00000"/>
    <numFmt numFmtId="174" formatCode="0.00000"/>
    <numFmt numFmtId="175" formatCode="&quot;$&quot;#,##0.0_);[Red]\(&quot;$&quot;#,##0.0\)"/>
    <numFmt numFmtId="176" formatCode="&quot;$&quot;#,##0.00000_);[Red]\(&quot;$&quot;#,##0.000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b/>
      <i/>
      <sz val="11"/>
      <color theme="1"/>
      <name val="Calibri"/>
      <family val="2"/>
      <scheme val="minor"/>
    </font>
    <font>
      <b/>
      <u/>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D98DC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49">
    <xf numFmtId="0" fontId="0" fillId="0" borderId="0" xfId="0"/>
    <xf numFmtId="3" fontId="2" fillId="2" borderId="1" xfId="0" applyNumberFormat="1" applyFont="1" applyFill="1" applyBorder="1" applyAlignment="1">
      <alignment horizontal="center" wrapText="1"/>
    </xf>
    <xf numFmtId="0" fontId="0" fillId="0" borderId="1" xfId="0" applyBorder="1" applyAlignment="1">
      <alignment vertical="center"/>
    </xf>
    <xf numFmtId="3" fontId="0" fillId="0" borderId="1" xfId="0" applyNumberFormat="1" applyBorder="1" applyAlignment="1">
      <alignment vertical="center"/>
    </xf>
    <xf numFmtId="164" fontId="0" fillId="0" borderId="3" xfId="0" applyNumberFormat="1" applyBorder="1" applyAlignment="1">
      <alignment vertical="center"/>
    </xf>
    <xf numFmtId="0" fontId="0" fillId="0" borderId="0" xfId="0" applyAlignment="1">
      <alignment horizontal="center"/>
    </xf>
    <xf numFmtId="0" fontId="2" fillId="2" borderId="4" xfId="0" applyFont="1" applyFill="1" applyBorder="1"/>
    <xf numFmtId="0" fontId="2" fillId="2" borderId="1" xfId="0" applyFont="1" applyFill="1" applyBorder="1" applyAlignment="1">
      <alignment horizontal="center"/>
    </xf>
    <xf numFmtId="0" fontId="2" fillId="2" borderId="5" xfId="0" applyFont="1" applyFill="1" applyBorder="1" applyAlignment="1">
      <alignment horizontal="left"/>
    </xf>
    <xf numFmtId="0" fontId="0" fillId="0" borderId="1" xfId="0" applyBorder="1"/>
    <xf numFmtId="0" fontId="2" fillId="2" borderId="4" xfId="0" applyFont="1" applyFill="1" applyBorder="1" applyAlignment="1">
      <alignment horizontal="left"/>
    </xf>
    <xf numFmtId="0" fontId="4" fillId="2" borderId="4" xfId="0" applyFont="1" applyFill="1" applyBorder="1" applyAlignment="1">
      <alignment horizontal="left"/>
    </xf>
    <xf numFmtId="0" fontId="5" fillId="0" borderId="4" xfId="0" applyFont="1" applyBorder="1" applyAlignment="1">
      <alignment horizontal="left"/>
    </xf>
    <xf numFmtId="9" fontId="0" fillId="0" borderId="1" xfId="2" applyFont="1" applyBorder="1" applyAlignment="1">
      <alignment horizontal="center"/>
    </xf>
    <xf numFmtId="0" fontId="2" fillId="2" borderId="6" xfId="0" applyFont="1" applyFill="1" applyBorder="1" applyAlignment="1">
      <alignment horizontal="left"/>
    </xf>
    <xf numFmtId="0" fontId="0" fillId="0" borderId="0" xfId="0" applyAlignment="1">
      <alignment horizontal="right"/>
    </xf>
    <xf numFmtId="0" fontId="0" fillId="0" borderId="0" xfId="0" applyAlignment="1">
      <alignment horizontal="left"/>
    </xf>
    <xf numFmtId="8" fontId="0" fillId="0" borderId="0" xfId="0" applyNumberFormat="1" applyAlignment="1">
      <alignment horizontal="center"/>
    </xf>
    <xf numFmtId="0" fontId="3" fillId="0" borderId="1" xfId="0" applyFont="1" applyBorder="1" applyAlignment="1">
      <alignment horizontal="right"/>
    </xf>
    <xf numFmtId="0" fontId="3" fillId="0" borderId="4" xfId="0" applyFont="1" applyBorder="1" applyAlignment="1">
      <alignment horizontal="right"/>
    </xf>
    <xf numFmtId="0" fontId="6" fillId="0" borderId="0" xfId="3"/>
    <xf numFmtId="0" fontId="3" fillId="0" borderId="0" xfId="0" applyFont="1"/>
    <xf numFmtId="0" fontId="3" fillId="0" borderId="0" xfId="0" applyFont="1" applyAlignment="1">
      <alignment horizontal="left"/>
    </xf>
    <xf numFmtId="0" fontId="3" fillId="0" borderId="0" xfId="0" applyFont="1" applyAlignment="1">
      <alignment horizontal="center"/>
    </xf>
    <xf numFmtId="167" fontId="0" fillId="0" borderId="0" xfId="1" applyNumberFormat="1" applyFont="1" applyAlignment="1">
      <alignment horizontal="center"/>
    </xf>
    <xf numFmtId="0" fontId="2" fillId="0" borderId="0" xfId="0" applyFont="1"/>
    <xf numFmtId="0" fontId="0" fillId="0" borderId="0" xfId="0" applyFont="1"/>
    <xf numFmtId="0" fontId="3" fillId="0" borderId="0" xfId="0" applyFont="1" applyAlignment="1">
      <alignment horizontal="right"/>
    </xf>
    <xf numFmtId="167" fontId="0" fillId="0" borderId="0" xfId="0" applyNumberFormat="1"/>
    <xf numFmtId="168" fontId="0" fillId="0" borderId="2" xfId="0" applyNumberFormat="1" applyBorder="1" applyAlignment="1">
      <alignment horizontal="right" vertical="center"/>
    </xf>
    <xf numFmtId="0" fontId="0" fillId="0" borderId="0" xfId="0" applyAlignment="1">
      <alignment wrapText="1"/>
    </xf>
    <xf numFmtId="44" fontId="0" fillId="0" borderId="0" xfId="0" applyNumberFormat="1" applyAlignment="1">
      <alignment horizontal="center"/>
    </xf>
    <xf numFmtId="0" fontId="0" fillId="0" borderId="0" xfId="0" applyFont="1" applyAlignment="1">
      <alignment horizontal="center"/>
    </xf>
    <xf numFmtId="9" fontId="0" fillId="0" borderId="0" xfId="0" applyNumberFormat="1"/>
    <xf numFmtId="10" fontId="0" fillId="0" borderId="0" xfId="0" applyNumberFormat="1"/>
    <xf numFmtId="10" fontId="0" fillId="0" borderId="0" xfId="2" applyNumberFormat="1" applyFont="1"/>
    <xf numFmtId="169" fontId="0" fillId="0" borderId="0" xfId="1" applyNumberFormat="1" applyFont="1"/>
    <xf numFmtId="169" fontId="0" fillId="0" borderId="0" xfId="0" applyNumberFormat="1"/>
    <xf numFmtId="0" fontId="0" fillId="0" borderId="0" xfId="0" applyAlignment="1">
      <alignment vertical="top"/>
    </xf>
    <xf numFmtId="6" fontId="0" fillId="0" borderId="0" xfId="0" applyNumberFormat="1" applyAlignment="1">
      <alignment horizontal="left"/>
    </xf>
    <xf numFmtId="0" fontId="0" fillId="0" borderId="0" xfId="0" applyFont="1" applyAlignment="1">
      <alignment wrapText="1"/>
    </xf>
    <xf numFmtId="1" fontId="0" fillId="0" borderId="0" xfId="0" applyNumberFormat="1" applyAlignment="1">
      <alignment horizontal="center"/>
    </xf>
    <xf numFmtId="0" fontId="2" fillId="2" borderId="1" xfId="0" applyFont="1" applyFill="1" applyBorder="1" applyAlignment="1">
      <alignment horizontal="center" vertical="top" wrapText="1"/>
    </xf>
    <xf numFmtId="3" fontId="2" fillId="2" borderId="1" xfId="0" applyNumberFormat="1" applyFont="1" applyFill="1" applyBorder="1" applyAlignment="1">
      <alignment horizontal="center" vertical="top" wrapText="1"/>
    </xf>
    <xf numFmtId="3" fontId="0" fillId="0" borderId="1" xfId="0" applyNumberFormat="1" applyBorder="1" applyAlignment="1">
      <alignment horizontal="center" vertical="center"/>
    </xf>
    <xf numFmtId="44" fontId="0" fillId="0" borderId="1" xfId="1" applyFont="1" applyBorder="1" applyAlignment="1">
      <alignment horizontal="right" vertical="center"/>
    </xf>
    <xf numFmtId="44" fontId="0" fillId="0" borderId="1" xfId="1" applyFont="1" applyBorder="1" applyAlignment="1">
      <alignment vertical="center"/>
    </xf>
    <xf numFmtId="0" fontId="0" fillId="0" borderId="0" xfId="0" applyFill="1" applyBorder="1" applyAlignment="1">
      <alignment horizontal="left" vertical="center"/>
    </xf>
    <xf numFmtId="0" fontId="0" fillId="0" borderId="1" xfId="0" applyFont="1" applyBorder="1"/>
    <xf numFmtId="0" fontId="0" fillId="0" borderId="1" xfId="0" applyFont="1" applyBorder="1" applyAlignment="1">
      <alignment horizontal="left"/>
    </xf>
    <xf numFmtId="0" fontId="0" fillId="0" borderId="1" xfId="0" applyFont="1" applyBorder="1" applyAlignment="1">
      <alignment horizontal="center"/>
    </xf>
    <xf numFmtId="165" fontId="0" fillId="0" borderId="1" xfId="0" applyNumberFormat="1" applyFont="1" applyBorder="1" applyAlignment="1">
      <alignment horizontal="center"/>
    </xf>
    <xf numFmtId="0" fontId="0" fillId="0" borderId="6" xfId="0" applyFont="1" applyBorder="1" applyAlignment="1">
      <alignment horizontal="center"/>
    </xf>
    <xf numFmtId="0" fontId="0" fillId="0" borderId="4" xfId="0" applyFont="1" applyBorder="1"/>
    <xf numFmtId="0" fontId="0" fillId="0" borderId="5" xfId="0" applyFont="1" applyBorder="1"/>
    <xf numFmtId="166" fontId="0" fillId="0" borderId="1" xfId="0" applyNumberFormat="1" applyFont="1" applyBorder="1" applyAlignment="1">
      <alignment horizontal="center"/>
    </xf>
    <xf numFmtId="0" fontId="0" fillId="0" borderId="5" xfId="0" applyFont="1" applyFill="1" applyBorder="1"/>
    <xf numFmtId="0" fontId="0" fillId="0" borderId="5" xfId="0" quotePrefix="1" applyFont="1" applyFill="1" applyBorder="1"/>
    <xf numFmtId="0" fontId="0" fillId="0" borderId="5" xfId="0" applyFont="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8" fontId="0" fillId="0" borderId="1" xfId="0" applyNumberFormat="1" applyFont="1" applyBorder="1" applyAlignment="1">
      <alignment horizontal="center"/>
    </xf>
    <xf numFmtId="8" fontId="0" fillId="0" borderId="1" xfId="0" applyNumberFormat="1" applyFont="1" applyFill="1" applyBorder="1" applyAlignment="1">
      <alignment horizontal="center"/>
    </xf>
    <xf numFmtId="169" fontId="1" fillId="0" borderId="0" xfId="1" applyNumberFormat="1" applyFont="1"/>
    <xf numFmtId="0" fontId="3" fillId="0" borderId="0" xfId="0" applyFont="1" applyAlignment="1">
      <alignment horizontal="left" wrapText="1"/>
    </xf>
    <xf numFmtId="169" fontId="0" fillId="0" borderId="0" xfId="0" applyNumberFormat="1" applyAlignment="1">
      <alignment horizontal="center"/>
    </xf>
    <xf numFmtId="0" fontId="0" fillId="0" borderId="0" xfId="0"/>
    <xf numFmtId="0" fontId="2" fillId="2" borderId="1" xfId="0" applyFont="1" applyFill="1" applyBorder="1" applyAlignment="1">
      <alignment horizontal="center"/>
    </xf>
    <xf numFmtId="0" fontId="0" fillId="0" borderId="4" xfId="0" applyBorder="1"/>
    <xf numFmtId="0" fontId="4" fillId="2" borderId="4" xfId="0" applyFont="1" applyFill="1" applyBorder="1" applyAlignment="1">
      <alignment horizontal="left"/>
    </xf>
    <xf numFmtId="0" fontId="2" fillId="2" borderId="5" xfId="0" applyFont="1" applyFill="1" applyBorder="1" applyAlignment="1">
      <alignment horizontal="left"/>
    </xf>
    <xf numFmtId="0" fontId="0" fillId="0" borderId="0" xfId="0" applyFont="1" applyAlignment="1">
      <alignment vertical="top" wrapText="1"/>
    </xf>
    <xf numFmtId="6" fontId="0" fillId="0" borderId="0" xfId="0" applyNumberFormat="1" applyAlignment="1">
      <alignment horizontal="left" vertical="top"/>
    </xf>
    <xf numFmtId="0" fontId="0" fillId="3" borderId="1" xfId="0" applyFont="1" applyFill="1" applyBorder="1" applyAlignment="1">
      <alignment horizontal="right"/>
    </xf>
    <xf numFmtId="2" fontId="0" fillId="3" borderId="1" xfId="0" applyNumberFormat="1" applyFill="1" applyBorder="1" applyAlignment="1">
      <alignment horizontal="center"/>
    </xf>
    <xf numFmtId="8" fontId="0" fillId="0" borderId="1" xfId="0" applyNumberFormat="1" applyBorder="1" applyAlignment="1">
      <alignment horizontal="center"/>
    </xf>
    <xf numFmtId="0" fontId="0" fillId="4" borderId="1" xfId="0" applyFont="1" applyFill="1" applyBorder="1" applyAlignment="1">
      <alignment horizontal="right"/>
    </xf>
    <xf numFmtId="0" fontId="0" fillId="0" borderId="11" xfId="0" applyFont="1" applyFill="1" applyBorder="1"/>
    <xf numFmtId="2" fontId="0" fillId="4" borderId="1" xfId="0" applyNumberFormat="1" applyFill="1" applyBorder="1" applyAlignment="1">
      <alignment horizontal="center"/>
    </xf>
    <xf numFmtId="3" fontId="2" fillId="2" borderId="1" xfId="0" applyNumberFormat="1" applyFont="1" applyFill="1" applyBorder="1" applyAlignment="1">
      <alignment horizontal="center" wrapText="1"/>
    </xf>
    <xf numFmtId="0" fontId="2" fillId="0" borderId="0" xfId="0" applyFont="1" applyAlignment="1">
      <alignment wrapText="1"/>
    </xf>
    <xf numFmtId="171" fontId="0" fillId="0" borderId="0" xfId="0" applyNumberFormat="1"/>
    <xf numFmtId="0" fontId="0" fillId="0" borderId="12" xfId="0" applyFont="1" applyBorder="1"/>
    <xf numFmtId="0" fontId="0" fillId="0" borderId="1" xfId="0" applyFont="1" applyFill="1" applyBorder="1"/>
    <xf numFmtId="0" fontId="0" fillId="0" borderId="0" xfId="0" applyFill="1" applyAlignment="1">
      <alignment horizontal="center"/>
    </xf>
    <xf numFmtId="0" fontId="0" fillId="0" borderId="0" xfId="0" applyFill="1" applyBorder="1" applyAlignment="1">
      <alignment vertical="center"/>
    </xf>
    <xf numFmtId="10" fontId="0" fillId="0" borderId="0" xfId="0" applyNumberFormat="1" applyAlignment="1">
      <alignment wrapText="1"/>
    </xf>
    <xf numFmtId="10" fontId="0" fillId="0" borderId="0" xfId="0" applyNumberFormat="1" applyAlignment="1">
      <alignment horizontal="center"/>
    </xf>
    <xf numFmtId="0" fontId="0" fillId="0" borderId="1" xfId="0" applyFill="1" applyBorder="1" applyAlignment="1">
      <alignment vertical="center"/>
    </xf>
    <xf numFmtId="0" fontId="0" fillId="0" borderId="1" xfId="0" applyFill="1" applyBorder="1" applyAlignment="1">
      <alignment horizontal="right" vertical="center"/>
    </xf>
    <xf numFmtId="0" fontId="0" fillId="0" borderId="4" xfId="0" applyFill="1" applyBorder="1"/>
    <xf numFmtId="0" fontId="0" fillId="0" borderId="1" xfId="0" applyFont="1" applyFill="1" applyBorder="1" applyAlignment="1">
      <alignment horizontal="center"/>
    </xf>
    <xf numFmtId="0" fontId="5" fillId="0" borderId="0" xfId="0" applyFont="1" applyFill="1"/>
    <xf numFmtId="2" fontId="0" fillId="0" borderId="1" xfId="2" applyNumberFormat="1" applyFont="1" applyFill="1" applyBorder="1" applyAlignment="1">
      <alignment horizontal="center"/>
    </xf>
    <xf numFmtId="170" fontId="0" fillId="0" borderId="1" xfId="0" applyNumberFormat="1" applyFont="1" applyFill="1" applyBorder="1" applyAlignment="1">
      <alignment horizontal="center"/>
    </xf>
    <xf numFmtId="2" fontId="0" fillId="0" borderId="1" xfId="0" applyNumberFormat="1" applyFont="1" applyFill="1" applyBorder="1" applyAlignment="1">
      <alignment horizontal="center"/>
    </xf>
    <xf numFmtId="0" fontId="3" fillId="0" borderId="4" xfId="0" applyFont="1" applyFill="1" applyBorder="1" applyAlignment="1">
      <alignment horizontal="right"/>
    </xf>
    <xf numFmtId="166" fontId="0" fillId="0" borderId="1" xfId="0" applyNumberFormat="1" applyFont="1" applyFill="1" applyBorder="1" applyAlignment="1">
      <alignment horizontal="center"/>
    </xf>
    <xf numFmtId="0" fontId="4" fillId="5" borderId="4" xfId="0" applyFont="1" applyFill="1" applyBorder="1" applyAlignment="1">
      <alignment horizontal="left"/>
    </xf>
    <xf numFmtId="0" fontId="2" fillId="5" borderId="1" xfId="0" applyFont="1" applyFill="1" applyBorder="1" applyAlignment="1">
      <alignment horizontal="center"/>
    </xf>
    <xf numFmtId="0" fontId="2" fillId="5" borderId="5" xfId="0" applyFont="1" applyFill="1" applyBorder="1" applyAlignment="1">
      <alignment horizontal="left"/>
    </xf>
    <xf numFmtId="9" fontId="0" fillId="0" borderId="1" xfId="0" applyNumberFormat="1" applyFont="1" applyBorder="1" applyAlignment="1">
      <alignment horizontal="center"/>
    </xf>
    <xf numFmtId="3" fontId="0" fillId="0" borderId="1" xfId="0" applyNumberFormat="1" applyFont="1" applyBorder="1" applyAlignment="1">
      <alignment horizontal="center"/>
    </xf>
    <xf numFmtId="0" fontId="0" fillId="0" borderId="2" xfId="0" applyFont="1" applyBorder="1"/>
    <xf numFmtId="0" fontId="0" fillId="0" borderId="1" xfId="0" applyNumberFormat="1" applyFont="1" applyBorder="1" applyAlignment="1">
      <alignment horizontal="center"/>
    </xf>
    <xf numFmtId="2" fontId="0" fillId="0" borderId="1" xfId="0" applyNumberFormat="1" applyFont="1" applyBorder="1" applyAlignment="1">
      <alignment horizontal="center"/>
    </xf>
    <xf numFmtId="172" fontId="0" fillId="0" borderId="1" xfId="0" applyNumberFormat="1" applyFont="1" applyBorder="1" applyAlignment="1">
      <alignment horizontal="center"/>
    </xf>
    <xf numFmtId="173" fontId="0" fillId="0" borderId="2" xfId="0" applyNumberFormat="1" applyBorder="1" applyAlignment="1">
      <alignment vertical="center"/>
    </xf>
    <xf numFmtId="2" fontId="0" fillId="0" borderId="0" xfId="0" applyNumberFormat="1" applyAlignment="1">
      <alignment horizontal="center"/>
    </xf>
    <xf numFmtId="174" fontId="0" fillId="0" borderId="0" xfId="0" applyNumberFormat="1" applyAlignment="1">
      <alignment horizontal="left"/>
    </xf>
    <xf numFmtId="175" fontId="0" fillId="0" borderId="0" xfId="0" applyNumberFormat="1" applyAlignment="1">
      <alignment horizontal="left" vertical="top"/>
    </xf>
    <xf numFmtId="1" fontId="0" fillId="0" borderId="1" xfId="0" applyNumberFormat="1" applyFont="1" applyBorder="1" applyAlignment="1">
      <alignment horizontal="center"/>
    </xf>
    <xf numFmtId="176" fontId="0" fillId="0" borderId="0" xfId="0" applyNumberFormat="1"/>
    <xf numFmtId="0" fontId="0" fillId="0" borderId="5" xfId="0" applyBorder="1"/>
    <xf numFmtId="170" fontId="0" fillId="0" borderId="1" xfId="0" applyNumberFormat="1" applyFont="1" applyBorder="1" applyAlignment="1">
      <alignment horizontal="center"/>
    </xf>
    <xf numFmtId="0" fontId="6" fillId="0" borderId="0" xfId="3" applyAlignment="1">
      <alignment wrapText="1"/>
    </xf>
    <xf numFmtId="3" fontId="2" fillId="2" borderId="2" xfId="0" applyNumberFormat="1" applyFont="1" applyFill="1" applyBorder="1" applyAlignment="1">
      <alignment horizontal="center" wrapText="1"/>
    </xf>
    <xf numFmtId="0" fontId="2" fillId="2" borderId="1" xfId="0" applyFont="1" applyFill="1" applyBorder="1"/>
    <xf numFmtId="0" fontId="0" fillId="2" borderId="1" xfId="0" applyFill="1" applyBorder="1"/>
    <xf numFmtId="2" fontId="0" fillId="0" borderId="1" xfId="0" applyNumberFormat="1" applyBorder="1" applyAlignment="1">
      <alignment horizontal="center"/>
    </xf>
    <xf numFmtId="1" fontId="0" fillId="0" borderId="1" xfId="0" applyNumberFormat="1" applyBorder="1" applyAlignment="1">
      <alignment horizontal="center"/>
    </xf>
    <xf numFmtId="171" fontId="0" fillId="0" borderId="1" xfId="0" applyNumberFormat="1" applyBorder="1" applyAlignment="1">
      <alignment horizontal="center"/>
    </xf>
    <xf numFmtId="3" fontId="2" fillId="2" borderId="16" xfId="0" applyNumberFormat="1" applyFont="1" applyFill="1" applyBorder="1" applyAlignment="1">
      <alignment horizontal="center" wrapText="1"/>
    </xf>
    <xf numFmtId="44" fontId="0" fillId="0" borderId="2" xfId="1" applyFont="1" applyBorder="1" applyAlignment="1">
      <alignment horizontal="right" vertical="center"/>
    </xf>
    <xf numFmtId="2" fontId="0" fillId="0" borderId="0" xfId="0" applyNumberFormat="1"/>
    <xf numFmtId="44" fontId="0" fillId="0" borderId="0" xfId="1" applyFont="1"/>
    <xf numFmtId="44" fontId="0" fillId="0" borderId="0" xfId="1" applyFont="1" applyAlignment="1">
      <alignment horizontal="left"/>
    </xf>
    <xf numFmtId="44" fontId="0" fillId="0" borderId="2" xfId="1" applyFont="1" applyBorder="1" applyAlignment="1">
      <alignment vertical="center"/>
    </xf>
    <xf numFmtId="165" fontId="5" fillId="0" borderId="1" xfId="0" applyNumberFormat="1"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0" xfId="0" applyAlignment="1">
      <alignment horizontal="left" vertical="top" wrapText="1"/>
    </xf>
    <xf numFmtId="3" fontId="2" fillId="2" borderId="2" xfId="0" applyNumberFormat="1" applyFont="1" applyFill="1" applyBorder="1" applyAlignment="1">
      <alignment horizontal="center" wrapText="1"/>
    </xf>
    <xf numFmtId="3" fontId="2" fillId="2" borderId="3" xfId="0" applyNumberFormat="1" applyFont="1" applyFill="1" applyBorder="1" applyAlignment="1">
      <alignment horizontal="center" wrapText="1"/>
    </xf>
    <xf numFmtId="0" fontId="8" fillId="0" borderId="0" xfId="0" applyFont="1" applyAlignment="1">
      <alignment horizontal="center"/>
    </xf>
    <xf numFmtId="0" fontId="0" fillId="0" borderId="0" xfId="0" applyAlignment="1">
      <alignment horizontal="left" wrapText="1"/>
    </xf>
    <xf numFmtId="0" fontId="0" fillId="6" borderId="4" xfId="0" applyFont="1" applyFill="1" applyBorder="1"/>
    <xf numFmtId="165" fontId="0" fillId="6" borderId="1" xfId="0" applyNumberFormat="1" applyFont="1" applyFill="1" applyBorder="1" applyAlignment="1">
      <alignment horizontal="center"/>
    </xf>
    <xf numFmtId="0" fontId="0" fillId="7" borderId="10" xfId="0" applyFont="1" applyFill="1" applyBorder="1"/>
    <xf numFmtId="8" fontId="0" fillId="7" borderId="0" xfId="0" applyNumberFormat="1" applyFont="1" applyFill="1" applyAlignment="1">
      <alignment horizontal="center"/>
    </xf>
    <xf numFmtId="0" fontId="0" fillId="7" borderId="4" xfId="0" applyFont="1" applyFill="1" applyBorder="1"/>
    <xf numFmtId="165" fontId="0" fillId="7" borderId="1" xfId="0" applyNumberFormat="1" applyFont="1" applyFill="1" applyBorder="1" applyAlignment="1">
      <alignment horizontal="center"/>
    </xf>
    <xf numFmtId="0" fontId="0" fillId="8" borderId="1" xfId="0" applyFill="1" applyBorder="1" applyAlignment="1">
      <alignment horizontal="right"/>
    </xf>
    <xf numFmtId="2" fontId="0" fillId="8" borderId="1" xfId="0" applyNumberFormat="1" applyFill="1" applyBorder="1" applyAlignment="1">
      <alignment horizontal="center"/>
    </xf>
    <xf numFmtId="8" fontId="0" fillId="7" borderId="1" xfId="0" applyNumberFormat="1" applyFont="1" applyFill="1"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D98D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psc.ga.gov/site/assets/files/6263/september_2021_fixed_pricing.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spxcooling.com/wp-content/uploads/AE-AS-24-1.pdf" TargetMode="External"/><Relationship Id="rId2" Type="http://schemas.openxmlformats.org/officeDocument/2006/relationships/hyperlink" Target="https://spxcooling.com/wp-content/uploads/AE-AS-24-1.pdf" TargetMode="External"/><Relationship Id="rId1" Type="http://schemas.openxmlformats.org/officeDocument/2006/relationships/hyperlink" Target="https://spxcooling.com/wp-content/uploads/AE-AS-24-1.pdf"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78F37-7B95-47F6-93C2-B4D5A5EE8757}">
  <sheetPr>
    <pageSetUpPr fitToPage="1"/>
  </sheetPr>
  <dimension ref="A1:C42"/>
  <sheetViews>
    <sheetView tabSelected="1" topLeftCell="A10" zoomScaleNormal="100" workbookViewId="0">
      <selection activeCell="B27" sqref="B27"/>
    </sheetView>
  </sheetViews>
  <sheetFormatPr defaultRowHeight="14.5" x14ac:dyDescent="0.35"/>
  <cols>
    <col min="1" max="1" width="51.81640625" customWidth="1"/>
    <col min="2" max="2" width="22.81640625" customWidth="1"/>
    <col min="3" max="3" width="126.08984375" customWidth="1"/>
  </cols>
  <sheetData>
    <row r="1" spans="1:3" x14ac:dyDescent="0.35">
      <c r="A1" s="6" t="s">
        <v>156</v>
      </c>
      <c r="B1" s="7" t="s">
        <v>97</v>
      </c>
      <c r="C1" s="8" t="s">
        <v>1</v>
      </c>
    </row>
    <row r="2" spans="1:3" x14ac:dyDescent="0.35">
      <c r="A2" s="48" t="s">
        <v>116</v>
      </c>
      <c r="B2" s="62">
        <v>44.48</v>
      </c>
      <c r="C2" s="48" t="s">
        <v>9</v>
      </c>
    </row>
    <row r="3" spans="1:3" x14ac:dyDescent="0.35">
      <c r="A3" s="48" t="s">
        <v>117</v>
      </c>
      <c r="B3" s="62">
        <v>51.58</v>
      </c>
      <c r="C3" s="48" t="s">
        <v>9</v>
      </c>
    </row>
    <row r="4" spans="1:3" x14ac:dyDescent="0.35">
      <c r="A4" s="49" t="s">
        <v>115</v>
      </c>
      <c r="B4" s="61">
        <f>$B3-B2</f>
        <v>7.1000000000000014</v>
      </c>
      <c r="C4" s="48" t="s">
        <v>221</v>
      </c>
    </row>
    <row r="5" spans="1:3" x14ac:dyDescent="0.35">
      <c r="A5" s="49" t="s">
        <v>59</v>
      </c>
      <c r="B5" s="50">
        <f>(0.03*1)+(0.65*2)+(0.25*3)+(0.07*4)</f>
        <v>2.3600000000000003</v>
      </c>
      <c r="C5" s="48" t="s">
        <v>8</v>
      </c>
    </row>
    <row r="6" spans="1:3" x14ac:dyDescent="0.35">
      <c r="A6" s="18" t="s">
        <v>33</v>
      </c>
      <c r="B6" s="61">
        <f>$B4*B5</f>
        <v>16.756000000000007</v>
      </c>
      <c r="C6" s="48" t="s">
        <v>118</v>
      </c>
    </row>
    <row r="7" spans="1:3" x14ac:dyDescent="0.35">
      <c r="A7" s="19"/>
      <c r="B7" s="51"/>
      <c r="C7" s="52"/>
    </row>
    <row r="8" spans="1:3" x14ac:dyDescent="0.35">
      <c r="A8" s="11" t="s">
        <v>32</v>
      </c>
      <c r="B8" s="7"/>
      <c r="C8" s="14"/>
    </row>
    <row r="9" spans="1:3" x14ac:dyDescent="0.35">
      <c r="A9" s="53" t="s">
        <v>35</v>
      </c>
      <c r="B9" s="50">
        <v>2.5</v>
      </c>
      <c r="C9" s="54"/>
    </row>
    <row r="10" spans="1:3" x14ac:dyDescent="0.35">
      <c r="A10" s="53" t="s">
        <v>36</v>
      </c>
      <c r="B10" s="50">
        <v>2</v>
      </c>
      <c r="C10" s="54"/>
    </row>
    <row r="11" spans="1:3" x14ac:dyDescent="0.35">
      <c r="A11" s="53" t="s">
        <v>37</v>
      </c>
      <c r="B11" s="111">
        <f>((8.2*0.67*2.66*365))</f>
        <v>5334.1246000000001</v>
      </c>
      <c r="C11" s="56" t="s">
        <v>96</v>
      </c>
    </row>
    <row r="12" spans="1:3" x14ac:dyDescent="0.35">
      <c r="A12" s="19" t="s">
        <v>42</v>
      </c>
      <c r="B12" s="111">
        <f>(B9-B10)*B11</f>
        <v>2667.0623000000001</v>
      </c>
      <c r="C12" s="56"/>
    </row>
    <row r="13" spans="1:3" x14ac:dyDescent="0.35">
      <c r="A13" s="19"/>
      <c r="B13" s="50"/>
      <c r="C13" s="56"/>
    </row>
    <row r="14" spans="1:3" x14ac:dyDescent="0.35">
      <c r="A14" s="11" t="s">
        <v>34</v>
      </c>
      <c r="B14" s="7"/>
      <c r="C14" s="8" t="s">
        <v>1</v>
      </c>
    </row>
    <row r="15" spans="1:3" x14ac:dyDescent="0.35">
      <c r="A15" s="12" t="s">
        <v>75</v>
      </c>
      <c r="B15" s="50" t="s">
        <v>3</v>
      </c>
      <c r="C15" s="54" t="s">
        <v>98</v>
      </c>
    </row>
    <row r="16" spans="1:3" x14ac:dyDescent="0.35">
      <c r="A16" s="53" t="s">
        <v>4</v>
      </c>
      <c r="B16" s="13">
        <v>0.73</v>
      </c>
      <c r="C16" s="54" t="s">
        <v>2</v>
      </c>
    </row>
    <row r="17" spans="1:3" x14ac:dyDescent="0.35">
      <c r="A17" s="53" t="s">
        <v>41</v>
      </c>
      <c r="B17" s="50">
        <f>0.009</f>
        <v>8.9999999999999993E-3</v>
      </c>
      <c r="C17" s="57" t="s">
        <v>76</v>
      </c>
    </row>
    <row r="18" spans="1:3" x14ac:dyDescent="0.35">
      <c r="A18" s="19" t="s">
        <v>43</v>
      </c>
      <c r="B18" s="105">
        <f>B12*B16*B17</f>
        <v>17.522599310999997</v>
      </c>
      <c r="C18" s="54"/>
    </row>
    <row r="19" spans="1:3" x14ac:dyDescent="0.35">
      <c r="A19" s="129"/>
      <c r="B19" s="130"/>
      <c r="C19" s="131"/>
    </row>
    <row r="20" spans="1:3" x14ac:dyDescent="0.35">
      <c r="A20" s="10" t="s">
        <v>30</v>
      </c>
      <c r="B20" s="7"/>
      <c r="C20" s="8" t="s">
        <v>1</v>
      </c>
    </row>
    <row r="21" spans="1:3" x14ac:dyDescent="0.35">
      <c r="A21" s="53" t="s">
        <v>5</v>
      </c>
      <c r="B21" s="111">
        <v>15</v>
      </c>
      <c r="C21" s="58" t="s">
        <v>7</v>
      </c>
    </row>
    <row r="22" spans="1:3" x14ac:dyDescent="0.35">
      <c r="A22" s="53" t="s">
        <v>6</v>
      </c>
      <c r="B22" s="13">
        <v>0.03</v>
      </c>
      <c r="C22" s="59" t="s">
        <v>112</v>
      </c>
    </row>
    <row r="23" spans="1:3" x14ac:dyDescent="0.35">
      <c r="A23" s="53"/>
      <c r="B23" s="13"/>
      <c r="C23" s="60"/>
    </row>
    <row r="24" spans="1:3" x14ac:dyDescent="0.35">
      <c r="A24" s="10" t="s">
        <v>31</v>
      </c>
      <c r="B24" s="7" t="s">
        <v>29</v>
      </c>
      <c r="C24" s="14"/>
    </row>
    <row r="25" spans="1:3" x14ac:dyDescent="0.35">
      <c r="A25" s="142" t="s">
        <v>26</v>
      </c>
      <c r="B25" s="143">
        <f>(B12/365)*'H20 Capacity Cost'!B19</f>
        <v>31.493256199999998</v>
      </c>
      <c r="C25" s="54" t="s">
        <v>56</v>
      </c>
    </row>
    <row r="26" spans="1:3" x14ac:dyDescent="0.35">
      <c r="A26" s="144" t="s">
        <v>27</v>
      </c>
      <c r="B26" s="145">
        <f>NPV(B22,'H20 Variable Production Cost'!D22:R22)*'BCA-Showerhead BCA'!B12</f>
        <v>20.713511087056627</v>
      </c>
      <c r="C26" s="54" t="s">
        <v>55</v>
      </c>
    </row>
    <row r="27" spans="1:3" x14ac:dyDescent="0.35">
      <c r="A27" s="140" t="s">
        <v>67</v>
      </c>
      <c r="B27" s="141">
        <f>NPV(B22,'Natural Gas Retail Cost'!D20:R20)*B18</f>
        <v>163.02089890835293</v>
      </c>
      <c r="C27" s="54" t="s">
        <v>24</v>
      </c>
    </row>
    <row r="28" spans="1:3" s="66" customFormat="1" x14ac:dyDescent="0.35">
      <c r="A28" s="73" t="s">
        <v>103</v>
      </c>
      <c r="B28" s="74">
        <f>SUM(B25:B27)/B6</f>
        <v>12.844811780580654</v>
      </c>
      <c r="C28" s="48"/>
    </row>
    <row r="29" spans="1:3" x14ac:dyDescent="0.35">
      <c r="A29" s="48" t="s">
        <v>89</v>
      </c>
      <c r="B29" s="75">
        <f>B18*B21*'CO2 Emission Costs'!B3*'CO2 Emission Costs'!B2</f>
        <v>71.045378906449486</v>
      </c>
      <c r="C29" s="48" t="s">
        <v>24</v>
      </c>
    </row>
    <row r="30" spans="1:3" s="66" customFormat="1" x14ac:dyDescent="0.35">
      <c r="A30" s="83" t="s">
        <v>99</v>
      </c>
      <c r="B30" s="75">
        <f>B12*B21*'CO2 Emission Costs'!B13*'CO2 Emission Costs'!B4*'CO2 Emission Costs'!B2</f>
        <v>2.8931491711710002</v>
      </c>
      <c r="C30" s="48" t="s">
        <v>92</v>
      </c>
    </row>
    <row r="31" spans="1:3" s="66" customFormat="1" x14ac:dyDescent="0.35">
      <c r="A31" s="83" t="s">
        <v>178</v>
      </c>
      <c r="B31" s="75">
        <f>B12*B21*'CO2 Emission Costs'!B13*'Air Quality Costs'!B5</f>
        <v>1.3068605270000002</v>
      </c>
      <c r="C31" s="48" t="s">
        <v>114</v>
      </c>
    </row>
    <row r="32" spans="1:3" x14ac:dyDescent="0.35">
      <c r="A32" s="76" t="s">
        <v>104</v>
      </c>
      <c r="B32" s="78">
        <f>SUM(B25+B26+B27+B29+B30+B31)/B6</f>
        <v>17.335465194558957</v>
      </c>
      <c r="C32" s="48"/>
    </row>
    <row r="33" spans="1:3" x14ac:dyDescent="0.35">
      <c r="A33" s="9"/>
      <c r="B33" s="9"/>
      <c r="C33" s="9"/>
    </row>
    <row r="34" spans="1:3" x14ac:dyDescent="0.35">
      <c r="A34" s="117" t="s">
        <v>225</v>
      </c>
      <c r="B34" s="118"/>
      <c r="C34" s="118"/>
    </row>
    <row r="35" spans="1:3" x14ac:dyDescent="0.35">
      <c r="A35" s="9" t="s">
        <v>33</v>
      </c>
      <c r="B35" s="75">
        <f>B6</f>
        <v>16.756000000000007</v>
      </c>
      <c r="C35" s="9"/>
    </row>
    <row r="36" spans="1:3" x14ac:dyDescent="0.35">
      <c r="A36" s="9" t="s">
        <v>42</v>
      </c>
      <c r="B36" s="120">
        <f>B12</f>
        <v>2667.0623000000001</v>
      </c>
      <c r="C36" s="9"/>
    </row>
    <row r="37" spans="1:3" x14ac:dyDescent="0.35">
      <c r="A37" s="9" t="s">
        <v>226</v>
      </c>
      <c r="B37" s="128">
        <f>'Water&amp;Sewer Retail Cost'!E15</f>
        <v>14.473457808312025</v>
      </c>
      <c r="C37" s="9" t="s">
        <v>249</v>
      </c>
    </row>
    <row r="38" spans="1:3" x14ac:dyDescent="0.35">
      <c r="A38" s="9" t="s">
        <v>227</v>
      </c>
      <c r="B38" s="75">
        <f>(B36/1000)*B37</f>
        <v>38.601613671189632</v>
      </c>
      <c r="C38" s="9"/>
    </row>
    <row r="39" spans="1:3" s="66" customFormat="1" x14ac:dyDescent="0.35">
      <c r="A39" s="9" t="s">
        <v>43</v>
      </c>
      <c r="B39" s="119">
        <f>B18</f>
        <v>17.522599310999997</v>
      </c>
      <c r="C39" s="9"/>
    </row>
    <row r="40" spans="1:3" s="66" customFormat="1" x14ac:dyDescent="0.35">
      <c r="A40" s="9" t="s">
        <v>228</v>
      </c>
      <c r="B40" s="75">
        <f>'Natural Gas Retail Cost'!B13</f>
        <v>0.61619999999999997</v>
      </c>
      <c r="C40" s="9" t="s">
        <v>229</v>
      </c>
    </row>
    <row r="41" spans="1:3" s="66" customFormat="1" x14ac:dyDescent="0.35">
      <c r="A41" s="9" t="s">
        <v>230</v>
      </c>
      <c r="B41" s="75">
        <f>B39*B40</f>
        <v>10.797425695438198</v>
      </c>
      <c r="C41" s="9"/>
    </row>
    <row r="42" spans="1:3" s="66" customFormat="1" x14ac:dyDescent="0.35">
      <c r="A42" s="146" t="s">
        <v>231</v>
      </c>
      <c r="B42" s="147">
        <f>B35/(B41+B38)</f>
        <v>0.33919687943000248</v>
      </c>
      <c r="C42" s="9"/>
    </row>
  </sheetData>
  <mergeCells count="1">
    <mergeCell ref="A19:C19"/>
  </mergeCells>
  <pageMargins left="0.7" right="0.7" top="0.75" bottom="0.75" header="0.3" footer="0.3"/>
  <pageSetup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D5117-3AD5-40A3-A77C-BC97181D37C0}">
  <sheetPr>
    <tabColor rgb="FF00B0F0"/>
  </sheetPr>
  <dimension ref="A1:R28"/>
  <sheetViews>
    <sheetView zoomScale="90" zoomScaleNormal="90" workbookViewId="0">
      <selection activeCell="A20" sqref="A20"/>
    </sheetView>
  </sheetViews>
  <sheetFormatPr defaultRowHeight="14.5" x14ac:dyDescent="0.35"/>
  <cols>
    <col min="1" max="1" width="32.54296875" customWidth="1"/>
    <col min="2" max="2" width="8.81640625" customWidth="1"/>
  </cols>
  <sheetData>
    <row r="1" spans="1:2" x14ac:dyDescent="0.35">
      <c r="A1" s="25" t="s">
        <v>48</v>
      </c>
    </row>
    <row r="2" spans="1:2" x14ac:dyDescent="0.35">
      <c r="A2" s="21" t="s">
        <v>12</v>
      </c>
      <c r="B2" s="23" t="s">
        <v>11</v>
      </c>
    </row>
    <row r="3" spans="1:2" x14ac:dyDescent="0.35">
      <c r="A3" t="s">
        <v>13</v>
      </c>
      <c r="B3" s="24">
        <v>0.82899999999999996</v>
      </c>
    </row>
    <row r="4" spans="1:2" x14ac:dyDescent="0.35">
      <c r="A4" t="s">
        <v>14</v>
      </c>
      <c r="B4" s="24">
        <v>0.73</v>
      </c>
    </row>
    <row r="5" spans="1:2" x14ac:dyDescent="0.35">
      <c r="A5" t="s">
        <v>15</v>
      </c>
      <c r="B5" s="24">
        <v>0.65</v>
      </c>
    </row>
    <row r="6" spans="1:2" x14ac:dyDescent="0.35">
      <c r="A6" t="s">
        <v>16</v>
      </c>
      <c r="B6" s="24">
        <v>0.59899999999999998</v>
      </c>
    </row>
    <row r="7" spans="1:2" x14ac:dyDescent="0.35">
      <c r="A7" t="s">
        <v>17</v>
      </c>
      <c r="B7" s="24">
        <v>0.67900000000000005</v>
      </c>
    </row>
    <row r="8" spans="1:2" x14ac:dyDescent="0.35">
      <c r="A8" t="s">
        <v>18</v>
      </c>
      <c r="B8" s="24">
        <v>0.629</v>
      </c>
    </row>
    <row r="9" spans="1:2" x14ac:dyDescent="0.35">
      <c r="A9" t="s">
        <v>19</v>
      </c>
      <c r="B9" s="24">
        <v>0.40799999999999997</v>
      </c>
    </row>
    <row r="10" spans="1:2" x14ac:dyDescent="0.35">
      <c r="A10" t="s">
        <v>20</v>
      </c>
      <c r="B10" s="24">
        <v>0.56999999999999995</v>
      </c>
    </row>
    <row r="11" spans="1:2" x14ac:dyDescent="0.35">
      <c r="A11" t="s">
        <v>21</v>
      </c>
      <c r="B11" s="24">
        <v>0.66900000000000004</v>
      </c>
    </row>
    <row r="12" spans="1:2" x14ac:dyDescent="0.35">
      <c r="A12" t="s">
        <v>22</v>
      </c>
      <c r="B12" s="24">
        <v>0.39900000000000002</v>
      </c>
    </row>
    <row r="13" spans="1:2" x14ac:dyDescent="0.35">
      <c r="A13" s="27" t="s">
        <v>23</v>
      </c>
      <c r="B13" s="28">
        <f>AVERAGE(B3:B12)</f>
        <v>0.61619999999999997</v>
      </c>
    </row>
    <row r="15" spans="1:2" x14ac:dyDescent="0.35">
      <c r="A15" t="s">
        <v>128</v>
      </c>
    </row>
    <row r="16" spans="1:2" x14ac:dyDescent="0.35">
      <c r="A16" s="20" t="s">
        <v>10</v>
      </c>
    </row>
    <row r="18" spans="1:18" x14ac:dyDescent="0.35">
      <c r="A18" s="23"/>
      <c r="B18" s="23">
        <v>2022</v>
      </c>
      <c r="C18" s="23">
        <f>B18+1</f>
        <v>2023</v>
      </c>
      <c r="D18" s="23">
        <f t="shared" ref="D18:P18" si="0">C18+1</f>
        <v>2024</v>
      </c>
      <c r="E18" s="23">
        <f t="shared" si="0"/>
        <v>2025</v>
      </c>
      <c r="F18" s="23">
        <f t="shared" si="0"/>
        <v>2026</v>
      </c>
      <c r="G18" s="23">
        <f t="shared" si="0"/>
        <v>2027</v>
      </c>
      <c r="H18" s="23">
        <f t="shared" si="0"/>
        <v>2028</v>
      </c>
      <c r="I18" s="23">
        <f t="shared" si="0"/>
        <v>2029</v>
      </c>
      <c r="J18" s="23">
        <f t="shared" si="0"/>
        <v>2030</v>
      </c>
      <c r="K18" s="23">
        <f t="shared" si="0"/>
        <v>2031</v>
      </c>
      <c r="L18" s="23">
        <f t="shared" si="0"/>
        <v>2032</v>
      </c>
      <c r="M18" s="23">
        <f t="shared" si="0"/>
        <v>2033</v>
      </c>
      <c r="N18" s="23">
        <f t="shared" si="0"/>
        <v>2034</v>
      </c>
      <c r="O18" s="23">
        <f t="shared" si="0"/>
        <v>2035</v>
      </c>
      <c r="P18" s="23">
        <f t="shared" si="0"/>
        <v>2036</v>
      </c>
      <c r="Q18" s="23">
        <v>2037</v>
      </c>
      <c r="R18" s="23">
        <v>2038</v>
      </c>
    </row>
    <row r="19" spans="1:18" x14ac:dyDescent="0.35">
      <c r="A19" s="22" t="s">
        <v>129</v>
      </c>
      <c r="B19" s="32">
        <v>-1</v>
      </c>
      <c r="C19" s="32">
        <v>0</v>
      </c>
      <c r="D19" s="32">
        <v>1</v>
      </c>
      <c r="E19" s="32">
        <v>2</v>
      </c>
      <c r="F19" s="32">
        <v>3</v>
      </c>
      <c r="G19" s="32">
        <v>4</v>
      </c>
      <c r="H19" s="32">
        <v>5</v>
      </c>
      <c r="I19" s="32">
        <v>6</v>
      </c>
      <c r="J19" s="32">
        <v>7</v>
      </c>
      <c r="K19" s="32">
        <v>8</v>
      </c>
      <c r="L19" s="32">
        <v>9</v>
      </c>
      <c r="M19" s="32">
        <v>10</v>
      </c>
      <c r="N19" s="32">
        <v>11</v>
      </c>
      <c r="O19" s="32">
        <v>12</v>
      </c>
      <c r="P19" s="32">
        <v>13</v>
      </c>
      <c r="Q19" s="5">
        <v>14</v>
      </c>
      <c r="R19" s="5">
        <v>15</v>
      </c>
    </row>
    <row r="20" spans="1:18" x14ac:dyDescent="0.35">
      <c r="A20" s="22" t="s">
        <v>45</v>
      </c>
      <c r="B20" s="31">
        <f>B13*(1+E22)</f>
        <v>0.63134003399999994</v>
      </c>
      <c r="C20" s="31">
        <f>B20*(1+E22)</f>
        <v>0.64685205863537998</v>
      </c>
      <c r="D20" s="31">
        <f>C20*(1+E22)</f>
        <v>0.66274521371605122</v>
      </c>
      <c r="E20" s="31">
        <f>D20*(1+E22)</f>
        <v>0.67902886361705461</v>
      </c>
      <c r="F20" s="31">
        <f>E20*(1+E22)</f>
        <v>0.69571260279612568</v>
      </c>
      <c r="G20" s="31">
        <f>F20*(1+E22)</f>
        <v>0.71280626144682646</v>
      </c>
      <c r="H20" s="31">
        <f>G20*(1+E22)</f>
        <v>0.73031991129057494</v>
      </c>
      <c r="I20" s="31">
        <f>H20*(1+E22)</f>
        <v>0.74826387151098439</v>
      </c>
      <c r="J20" s="31">
        <f>I20*(1+E22)</f>
        <v>0.76664871483400931</v>
      </c>
      <c r="K20" s="31">
        <f>J20*(1+E22)</f>
        <v>0.7854852737574809</v>
      </c>
      <c r="L20" s="31">
        <f>K20*(1+E22)</f>
        <v>0.80478464693370222</v>
      </c>
      <c r="M20" s="31">
        <f>L20*(1+E22)</f>
        <v>0.82455820570886329</v>
      </c>
      <c r="N20" s="31">
        <f>M20*(1+E22)</f>
        <v>0.84481760082313007</v>
      </c>
      <c r="O20" s="31">
        <f>N20*(1+E22)</f>
        <v>0.86557476927535437</v>
      </c>
      <c r="P20" s="31">
        <f>O20*(1+E22)</f>
        <v>0.88684194135644978</v>
      </c>
      <c r="Q20" s="31">
        <f>P20*(1+E22)</f>
        <v>0.90863164785557771</v>
      </c>
      <c r="R20" s="31">
        <f>Q20*(1+E22)</f>
        <v>0.9309567274433892</v>
      </c>
    </row>
    <row r="21" spans="1:18" x14ac:dyDescent="0.35">
      <c r="A21" s="5"/>
      <c r="B21" s="31"/>
      <c r="C21" s="31"/>
      <c r="D21" s="31"/>
      <c r="E21" s="31"/>
      <c r="F21" s="31"/>
      <c r="G21" s="31"/>
      <c r="H21" s="31"/>
      <c r="I21" s="31"/>
      <c r="J21" s="31"/>
      <c r="K21" s="31"/>
      <c r="L21" s="31"/>
      <c r="M21" s="31"/>
      <c r="N21" s="31"/>
      <c r="O21" s="31"/>
      <c r="P21" s="31"/>
      <c r="Q21" s="5"/>
    </row>
    <row r="22" spans="1:18" s="30" customFormat="1" ht="45.5" customHeight="1" x14ac:dyDescent="0.35">
      <c r="A22" s="135" t="s">
        <v>124</v>
      </c>
      <c r="B22" s="135"/>
      <c r="C22" s="135"/>
      <c r="D22" s="135"/>
      <c r="E22" s="86">
        <v>2.4570000000000002E-2</v>
      </c>
    </row>
    <row r="23" spans="1:18" ht="16.5" customHeight="1" x14ac:dyDescent="0.35"/>
    <row r="24" spans="1:18" ht="16.5" customHeight="1" x14ac:dyDescent="0.35">
      <c r="A24" s="25"/>
    </row>
    <row r="25" spans="1:18" x14ac:dyDescent="0.35">
      <c r="A25" s="26"/>
      <c r="B25" s="16"/>
      <c r="C25" s="66"/>
    </row>
    <row r="26" spans="1:18" x14ac:dyDescent="0.35">
      <c r="A26" s="40"/>
      <c r="B26" s="39"/>
      <c r="C26" s="66"/>
    </row>
    <row r="28" spans="1:18" ht="58.5" customHeight="1" x14ac:dyDescent="0.35">
      <c r="A28" s="139"/>
      <c r="B28" s="139"/>
      <c r="C28" s="139"/>
      <c r="D28" s="139"/>
    </row>
  </sheetData>
  <mergeCells count="2">
    <mergeCell ref="A22:D22"/>
    <mergeCell ref="A28:D28"/>
  </mergeCells>
  <hyperlinks>
    <hyperlink ref="A16" r:id="rId1" display="https://psc.ga.gov/site/assets/files/6263/september_2021_fixed_pricing.pdf" xr:uid="{A8107FAE-C2F2-4E04-9760-C1AAE65CED84}"/>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AF63D-C96F-4AF5-852C-3C23D390A32C}">
  <sheetPr>
    <tabColor rgb="FF00B0F0"/>
  </sheetPr>
  <dimension ref="A1:R15"/>
  <sheetViews>
    <sheetView workbookViewId="0"/>
  </sheetViews>
  <sheetFormatPr defaultRowHeight="14.5" x14ac:dyDescent="0.35"/>
  <cols>
    <col min="1" max="1" width="28.1796875" customWidth="1"/>
  </cols>
  <sheetData>
    <row r="1" spans="1:18" ht="28.5" customHeight="1" x14ac:dyDescent="0.35">
      <c r="A1" s="80" t="s">
        <v>68</v>
      </c>
      <c r="B1" s="63">
        <f>((8*0.047)+(4*0.098))/12</f>
        <v>6.4000000000000001E-2</v>
      </c>
    </row>
    <row r="3" spans="1:18" ht="46.5" customHeight="1" x14ac:dyDescent="0.35">
      <c r="A3" s="135" t="s">
        <v>70</v>
      </c>
      <c r="B3" s="135"/>
      <c r="C3" s="135"/>
      <c r="D3" s="135"/>
      <c r="E3" s="135"/>
      <c r="F3" s="135"/>
    </row>
    <row r="5" spans="1:18" x14ac:dyDescent="0.35">
      <c r="A5" s="23"/>
      <c r="B5" s="23">
        <v>2022</v>
      </c>
      <c r="C5" s="23">
        <f>B5+1</f>
        <v>2023</v>
      </c>
      <c r="D5" s="23">
        <f t="shared" ref="D5:P5" si="0">C5+1</f>
        <v>2024</v>
      </c>
      <c r="E5" s="23">
        <f t="shared" si="0"/>
        <v>2025</v>
      </c>
      <c r="F5" s="23">
        <f t="shared" si="0"/>
        <v>2026</v>
      </c>
      <c r="G5" s="23">
        <f t="shared" si="0"/>
        <v>2027</v>
      </c>
      <c r="H5" s="23">
        <f t="shared" si="0"/>
        <v>2028</v>
      </c>
      <c r="I5" s="23">
        <f t="shared" si="0"/>
        <v>2029</v>
      </c>
      <c r="J5" s="23">
        <f t="shared" si="0"/>
        <v>2030</v>
      </c>
      <c r="K5" s="23">
        <f t="shared" si="0"/>
        <v>2031</v>
      </c>
      <c r="L5" s="23">
        <f t="shared" si="0"/>
        <v>2032</v>
      </c>
      <c r="M5" s="23">
        <f t="shared" si="0"/>
        <v>2033</v>
      </c>
      <c r="N5" s="23">
        <f t="shared" si="0"/>
        <v>2034</v>
      </c>
      <c r="O5" s="23">
        <f t="shared" si="0"/>
        <v>2035</v>
      </c>
      <c r="P5" s="23">
        <f t="shared" si="0"/>
        <v>2036</v>
      </c>
      <c r="Q5" s="23">
        <v>2037</v>
      </c>
      <c r="R5" s="23">
        <v>2038</v>
      </c>
    </row>
    <row r="6" spans="1:18" x14ac:dyDescent="0.35">
      <c r="A6" s="22" t="s">
        <v>129</v>
      </c>
      <c r="B6" s="32">
        <v>-1</v>
      </c>
      <c r="C6" s="32">
        <v>0</v>
      </c>
      <c r="D6" s="32">
        <v>1</v>
      </c>
      <c r="E6" s="32">
        <v>2</v>
      </c>
      <c r="F6" s="32">
        <v>3</v>
      </c>
      <c r="G6" s="32">
        <v>4</v>
      </c>
      <c r="H6" s="32">
        <v>5</v>
      </c>
      <c r="I6" s="32">
        <v>6</v>
      </c>
      <c r="J6" s="32">
        <v>7</v>
      </c>
      <c r="K6" s="32">
        <v>8</v>
      </c>
      <c r="L6" s="32">
        <v>9</v>
      </c>
      <c r="M6" s="32">
        <v>10</v>
      </c>
      <c r="N6" s="32">
        <v>11</v>
      </c>
      <c r="O6" s="32">
        <v>12</v>
      </c>
      <c r="P6" s="32">
        <v>13</v>
      </c>
      <c r="Q6" s="5">
        <v>14</v>
      </c>
      <c r="R6" s="5">
        <v>15</v>
      </c>
    </row>
    <row r="7" spans="1:18" ht="29" x14ac:dyDescent="0.35">
      <c r="A7" s="64" t="s">
        <v>69</v>
      </c>
      <c r="B7" s="65">
        <f>B1*(1+H9)</f>
        <v>6.4793599999999993E-2</v>
      </c>
      <c r="C7" s="65">
        <f>B7*(1+H9)</f>
        <v>6.5597040639999993E-2</v>
      </c>
      <c r="D7" s="65">
        <f>C7*(1+H9)</f>
        <v>6.6410443943935984E-2</v>
      </c>
      <c r="E7" s="65">
        <f>D7*(1+H9)</f>
        <v>6.7233933448840794E-2</v>
      </c>
      <c r="F7" s="65">
        <f>E7*(1+H9)</f>
        <v>6.8067634223606413E-2</v>
      </c>
      <c r="G7" s="65">
        <f>F7*(1+H9)</f>
        <v>6.8911672887979128E-2</v>
      </c>
      <c r="H7" s="65">
        <f>G7*(1+H9)</f>
        <v>6.9766177631790063E-2</v>
      </c>
      <c r="I7" s="65">
        <f>H7*(1+H9)</f>
        <v>7.0631278234424263E-2</v>
      </c>
      <c r="J7" s="65">
        <f>I7*(1+H9)</f>
        <v>7.1507106084531119E-2</v>
      </c>
      <c r="K7" s="65">
        <f>J7*(1+H9)</f>
        <v>7.2393794199979308E-2</v>
      </c>
      <c r="L7" s="65">
        <f>K7*(1+H9)</f>
        <v>7.3291477248059053E-2</v>
      </c>
      <c r="M7" s="65">
        <f>L7*(1+H9)</f>
        <v>7.4200291565934981E-2</v>
      </c>
      <c r="N7" s="65">
        <f>M7*(1+H9)</f>
        <v>7.5120375181352575E-2</v>
      </c>
      <c r="O7" s="65">
        <f>N7*(1+H9)</f>
        <v>7.605186783360135E-2</v>
      </c>
      <c r="P7" s="65">
        <f>O7*(1+H9)</f>
        <v>7.6994910994738E-2</v>
      </c>
      <c r="Q7" s="65">
        <f>P7*(1+H9)</f>
        <v>7.7949647891072754E-2</v>
      </c>
      <c r="R7" s="65">
        <f>Q7*(1+H9)</f>
        <v>7.8916223524922058E-2</v>
      </c>
    </row>
    <row r="9" spans="1:18" ht="31" customHeight="1" x14ac:dyDescent="0.35">
      <c r="A9" s="135" t="s">
        <v>125</v>
      </c>
      <c r="B9" s="135"/>
      <c r="C9" s="135"/>
      <c r="D9" s="135"/>
      <c r="E9" s="135"/>
      <c r="F9" s="135"/>
      <c r="H9" s="87">
        <v>1.24E-2</v>
      </c>
    </row>
    <row r="11" spans="1:18" x14ac:dyDescent="0.35">
      <c r="A11" s="25"/>
      <c r="B11" s="66"/>
      <c r="C11" s="25"/>
      <c r="D11" s="66"/>
    </row>
    <row r="12" spans="1:18" x14ac:dyDescent="0.35">
      <c r="A12" s="26"/>
      <c r="B12" s="16"/>
      <c r="C12" s="66"/>
      <c r="D12" s="66"/>
    </row>
    <row r="13" spans="1:18" ht="34.5" customHeight="1" x14ac:dyDescent="0.35">
      <c r="A13" s="71"/>
      <c r="B13" s="72"/>
      <c r="C13" s="38"/>
      <c r="D13" s="38"/>
      <c r="E13" s="38"/>
      <c r="F13" s="38"/>
    </row>
    <row r="14" spans="1:18" x14ac:dyDescent="0.35">
      <c r="A14" s="66"/>
      <c r="B14" s="66"/>
      <c r="C14" s="66"/>
      <c r="D14" s="66"/>
    </row>
    <row r="15" spans="1:18" ht="43.5" customHeight="1" x14ac:dyDescent="0.35"/>
  </sheetData>
  <mergeCells count="2">
    <mergeCell ref="A3:F3"/>
    <mergeCell ref="A9:F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D2EFB-37FB-4635-9BB8-895B468F46F2}">
  <sheetPr>
    <tabColor rgb="FF92D050"/>
  </sheetPr>
  <dimension ref="A1:C19"/>
  <sheetViews>
    <sheetView zoomScale="120" zoomScaleNormal="120" workbookViewId="0">
      <selection activeCell="B13" sqref="B13"/>
    </sheetView>
  </sheetViews>
  <sheetFormatPr defaultRowHeight="14.5" x14ac:dyDescent="0.35"/>
  <cols>
    <col min="1" max="1" width="35.81640625" customWidth="1"/>
  </cols>
  <sheetData>
    <row r="1" spans="1:3" s="66" customFormat="1" x14ac:dyDescent="0.35">
      <c r="A1" s="25" t="s">
        <v>47</v>
      </c>
      <c r="B1" s="25" t="s">
        <v>101</v>
      </c>
      <c r="C1" s="25" t="s">
        <v>49</v>
      </c>
    </row>
    <row r="2" spans="1:3" s="66" customFormat="1" ht="29" customHeight="1" x14ac:dyDescent="0.35">
      <c r="A2" s="71" t="s">
        <v>46</v>
      </c>
      <c r="B2" s="110">
        <v>51</v>
      </c>
      <c r="C2" s="38" t="s">
        <v>130</v>
      </c>
    </row>
    <row r="3" spans="1:3" s="66" customFormat="1" x14ac:dyDescent="0.35">
      <c r="A3" s="26" t="s">
        <v>44</v>
      </c>
      <c r="B3" s="109">
        <v>5.3E-3</v>
      </c>
      <c r="C3" s="66" t="s">
        <v>79</v>
      </c>
    </row>
    <row r="4" spans="1:3" s="66" customFormat="1" x14ac:dyDescent="0.35">
      <c r="A4" s="26" t="s">
        <v>78</v>
      </c>
      <c r="B4" s="16">
        <v>7.0899999999999999E-4</v>
      </c>
      <c r="C4" s="66" t="s">
        <v>79</v>
      </c>
    </row>
    <row r="5" spans="1:3" s="66" customFormat="1" x14ac:dyDescent="0.35"/>
    <row r="6" spans="1:3" s="66" customFormat="1" x14ac:dyDescent="0.35"/>
    <row r="7" spans="1:3" s="66" customFormat="1" x14ac:dyDescent="0.35"/>
    <row r="8" spans="1:3" x14ac:dyDescent="0.35">
      <c r="A8" s="25" t="s">
        <v>100</v>
      </c>
    </row>
    <row r="9" spans="1:3" s="66" customFormat="1" x14ac:dyDescent="0.35">
      <c r="A9" s="26" t="s">
        <v>84</v>
      </c>
      <c r="B9" s="5">
        <v>200</v>
      </c>
      <c r="C9" s="66" t="s">
        <v>82</v>
      </c>
    </row>
    <row r="10" spans="1:3" x14ac:dyDescent="0.35">
      <c r="A10" t="s">
        <v>85</v>
      </c>
      <c r="B10" s="5">
        <v>1100</v>
      </c>
      <c r="C10" s="5"/>
    </row>
    <row r="11" spans="1:3" x14ac:dyDescent="0.35">
      <c r="A11" t="s">
        <v>86</v>
      </c>
      <c r="B11" s="5">
        <v>700</v>
      </c>
      <c r="C11" s="5"/>
    </row>
    <row r="12" spans="1:3" x14ac:dyDescent="0.35">
      <c r="A12" s="15" t="s">
        <v>87</v>
      </c>
      <c r="B12" s="5">
        <f>SUM(B9:B11)</f>
        <v>2000</v>
      </c>
      <c r="C12" s="5"/>
    </row>
    <row r="13" spans="1:3" x14ac:dyDescent="0.35">
      <c r="A13" s="15" t="s">
        <v>88</v>
      </c>
      <c r="B13" s="5">
        <f>B12/1000000</f>
        <v>2E-3</v>
      </c>
    </row>
    <row r="14" spans="1:3" s="66" customFormat="1" x14ac:dyDescent="0.35"/>
    <row r="15" spans="1:3" x14ac:dyDescent="0.35">
      <c r="A15" t="s">
        <v>83</v>
      </c>
      <c r="B15" s="66"/>
    </row>
    <row r="17" spans="1:3" x14ac:dyDescent="0.35">
      <c r="A17" s="25"/>
      <c r="B17" s="66"/>
      <c r="C17" s="25"/>
    </row>
    <row r="18" spans="1:3" x14ac:dyDescent="0.35">
      <c r="A18" s="26"/>
      <c r="B18" s="16"/>
      <c r="C18" s="66"/>
    </row>
    <row r="19" spans="1:3" x14ac:dyDescent="0.35">
      <c r="A19" s="71"/>
      <c r="B19" s="72"/>
      <c r="C19" s="38"/>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F4593-23E5-4FB1-B075-6BB807A563DF}">
  <sheetPr>
    <tabColor rgb="FF92D050"/>
  </sheetPr>
  <dimension ref="A1:H6"/>
  <sheetViews>
    <sheetView workbookViewId="0">
      <selection activeCell="B5" sqref="B5"/>
    </sheetView>
  </sheetViews>
  <sheetFormatPr defaultRowHeight="14.5" x14ac:dyDescent="0.35"/>
  <cols>
    <col min="1" max="1" width="46.54296875" customWidth="1"/>
    <col min="2" max="2" width="9.08984375" bestFit="1" customWidth="1"/>
  </cols>
  <sheetData>
    <row r="1" spans="1:8" s="66" customFormat="1" x14ac:dyDescent="0.35">
      <c r="A1" s="25" t="s">
        <v>113</v>
      </c>
    </row>
    <row r="2" spans="1:8" x14ac:dyDescent="0.35">
      <c r="A2" t="s">
        <v>131</v>
      </c>
      <c r="B2" s="81">
        <v>3.1E-2</v>
      </c>
    </row>
    <row r="3" spans="1:8" x14ac:dyDescent="0.35">
      <c r="A3" t="s">
        <v>105</v>
      </c>
      <c r="B3" s="81">
        <v>1.7999999999999999E-2</v>
      </c>
    </row>
    <row r="4" spans="1:8" x14ac:dyDescent="0.35">
      <c r="A4" s="15" t="s">
        <v>106</v>
      </c>
      <c r="B4" s="81">
        <f>SUM(B2+B3)</f>
        <v>4.9000000000000002E-2</v>
      </c>
    </row>
    <row r="5" spans="1:8" s="66" customFormat="1" x14ac:dyDescent="0.35">
      <c r="A5" s="15" t="s">
        <v>107</v>
      </c>
      <c r="B5" s="112">
        <f>B4/(12/4)</f>
        <v>1.6333333333333335E-2</v>
      </c>
      <c r="C5" s="66" t="s">
        <v>108</v>
      </c>
    </row>
    <row r="6" spans="1:8" ht="33" customHeight="1" x14ac:dyDescent="0.35">
      <c r="A6" s="135" t="s">
        <v>132</v>
      </c>
      <c r="B6" s="135"/>
      <c r="C6" s="135"/>
      <c r="D6" s="135"/>
      <c r="E6" s="135"/>
      <c r="F6" s="135"/>
      <c r="G6" s="135"/>
      <c r="H6" s="135"/>
    </row>
  </sheetData>
  <mergeCells count="1">
    <mergeCell ref="A6:H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E91CC-BE7A-4AA5-8F53-29A45728381C}">
  <dimension ref="A1:C42"/>
  <sheetViews>
    <sheetView topLeftCell="A4" workbookViewId="0">
      <selection activeCell="B17" sqref="B17"/>
    </sheetView>
  </sheetViews>
  <sheetFormatPr defaultRowHeight="14.5" x14ac:dyDescent="0.35"/>
  <cols>
    <col min="1" max="1" width="51.81640625" customWidth="1"/>
    <col min="2" max="2" width="25.36328125" customWidth="1"/>
    <col min="3" max="3" width="104.1796875" customWidth="1"/>
  </cols>
  <sheetData>
    <row r="1" spans="1:3" x14ac:dyDescent="0.35">
      <c r="A1" s="6" t="s">
        <v>157</v>
      </c>
      <c r="B1" s="7"/>
      <c r="C1" s="8" t="s">
        <v>1</v>
      </c>
    </row>
    <row r="2" spans="1:3" x14ac:dyDescent="0.35">
      <c r="A2" s="48" t="s">
        <v>71</v>
      </c>
      <c r="B2" s="62">
        <v>942.49</v>
      </c>
      <c r="C2" s="48" t="s">
        <v>9</v>
      </c>
    </row>
    <row r="3" spans="1:3" x14ac:dyDescent="0.35">
      <c r="A3" s="48" t="s">
        <v>72</v>
      </c>
      <c r="B3" s="62">
        <v>997.16</v>
      </c>
      <c r="C3" s="48" t="s">
        <v>9</v>
      </c>
    </row>
    <row r="4" spans="1:3" x14ac:dyDescent="0.35">
      <c r="A4" s="18" t="s">
        <v>33</v>
      </c>
      <c r="B4" s="62">
        <f>$B3-B2</f>
        <v>54.669999999999959</v>
      </c>
      <c r="C4" s="48" t="s">
        <v>221</v>
      </c>
    </row>
    <row r="5" spans="1:3" x14ac:dyDescent="0.35">
      <c r="A5" s="19"/>
      <c r="B5" s="51"/>
      <c r="C5" s="52"/>
    </row>
    <row r="6" spans="1:3" x14ac:dyDescent="0.35">
      <c r="A6" s="11" t="s">
        <v>32</v>
      </c>
      <c r="B6" s="7"/>
      <c r="C6" s="14"/>
    </row>
    <row r="7" spans="1:3" x14ac:dyDescent="0.35">
      <c r="A7" s="68" t="s">
        <v>94</v>
      </c>
      <c r="B7" s="50">
        <v>4.5</v>
      </c>
      <c r="C7" s="48" t="s">
        <v>143</v>
      </c>
    </row>
    <row r="8" spans="1:3" x14ac:dyDescent="0.35">
      <c r="A8" s="68" t="s">
        <v>93</v>
      </c>
      <c r="B8" s="5">
        <f>4.7*B7</f>
        <v>21.150000000000002</v>
      </c>
      <c r="C8" s="83" t="s">
        <v>146</v>
      </c>
    </row>
    <row r="9" spans="1:3" x14ac:dyDescent="0.35">
      <c r="A9" s="68" t="s">
        <v>95</v>
      </c>
      <c r="B9" s="50">
        <f>3.2*B7</f>
        <v>14.4</v>
      </c>
      <c r="C9" s="48" t="s">
        <v>147</v>
      </c>
    </row>
    <row r="10" spans="1:3" x14ac:dyDescent="0.35">
      <c r="A10" s="68" t="s">
        <v>73</v>
      </c>
      <c r="B10" s="50">
        <f>0.3*2.66*365</f>
        <v>291.27000000000004</v>
      </c>
      <c r="C10" s="48" t="s">
        <v>74</v>
      </c>
    </row>
    <row r="11" spans="1:3" x14ac:dyDescent="0.35">
      <c r="A11" s="19" t="s">
        <v>42</v>
      </c>
      <c r="B11" s="50">
        <f>(B8-B9)*B10</f>
        <v>1966.0725000000007</v>
      </c>
      <c r="C11" s="83"/>
    </row>
    <row r="12" spans="1:3" x14ac:dyDescent="0.35">
      <c r="A12" s="19"/>
      <c r="B12" s="50"/>
      <c r="C12" s="56"/>
    </row>
    <row r="13" spans="1:3" x14ac:dyDescent="0.35">
      <c r="A13" s="98" t="s">
        <v>208</v>
      </c>
      <c r="B13" s="99"/>
      <c r="C13" s="100" t="s">
        <v>1</v>
      </c>
    </row>
    <row r="14" spans="1:3" x14ac:dyDescent="0.35">
      <c r="A14" s="90" t="s">
        <v>94</v>
      </c>
      <c r="B14" s="91">
        <f>B7</f>
        <v>4.5</v>
      </c>
      <c r="C14" s="92" t="s">
        <v>142</v>
      </c>
    </row>
    <row r="15" spans="1:3" x14ac:dyDescent="0.35">
      <c r="A15" s="90" t="s">
        <v>144</v>
      </c>
      <c r="B15" s="93">
        <f>B14/1.84</f>
        <v>2.4456521739130435</v>
      </c>
      <c r="C15" s="83" t="s">
        <v>148</v>
      </c>
    </row>
    <row r="16" spans="1:3" x14ac:dyDescent="0.35">
      <c r="A16" s="90" t="s">
        <v>145</v>
      </c>
      <c r="B16" s="94">
        <f>B14/2.76</f>
        <v>1.6304347826086958</v>
      </c>
      <c r="C16" s="83" t="s">
        <v>149</v>
      </c>
    </row>
    <row r="17" spans="1:3" s="66" customFormat="1" x14ac:dyDescent="0.35">
      <c r="A17" s="90" t="s">
        <v>73</v>
      </c>
      <c r="B17" s="95">
        <f>B10</f>
        <v>291.27000000000004</v>
      </c>
      <c r="C17" s="57"/>
    </row>
    <row r="18" spans="1:3" x14ac:dyDescent="0.35">
      <c r="A18" s="96" t="s">
        <v>232</v>
      </c>
      <c r="B18" s="95">
        <f>(B15-B16)*B17</f>
        <v>237.44836956521738</v>
      </c>
      <c r="C18" s="56"/>
    </row>
    <row r="19" spans="1:3" x14ac:dyDescent="0.35">
      <c r="A19" s="129"/>
      <c r="B19" s="130"/>
      <c r="C19" s="131"/>
    </row>
    <row r="20" spans="1:3" x14ac:dyDescent="0.35">
      <c r="A20" s="10" t="s">
        <v>30</v>
      </c>
      <c r="B20" s="7"/>
      <c r="C20" s="8" t="s">
        <v>1</v>
      </c>
    </row>
    <row r="21" spans="1:3" x14ac:dyDescent="0.35">
      <c r="A21" s="53" t="s">
        <v>5</v>
      </c>
      <c r="B21" s="50">
        <v>11</v>
      </c>
      <c r="C21" s="58" t="s">
        <v>77</v>
      </c>
    </row>
    <row r="22" spans="1:3" x14ac:dyDescent="0.35">
      <c r="A22" s="53" t="s">
        <v>6</v>
      </c>
      <c r="B22" s="13">
        <v>0.03</v>
      </c>
      <c r="C22" s="59" t="s">
        <v>112</v>
      </c>
    </row>
    <row r="23" spans="1:3" x14ac:dyDescent="0.35">
      <c r="A23" s="53"/>
      <c r="B23" s="13"/>
      <c r="C23" s="60"/>
    </row>
    <row r="24" spans="1:3" x14ac:dyDescent="0.35">
      <c r="A24" s="10" t="s">
        <v>31</v>
      </c>
      <c r="B24" s="7" t="s">
        <v>29</v>
      </c>
      <c r="C24" s="14"/>
    </row>
    <row r="25" spans="1:3" x14ac:dyDescent="0.35">
      <c r="A25" s="142" t="s">
        <v>26</v>
      </c>
      <c r="B25" s="143">
        <f>(B11/365)*'H20 Capacity Cost'!B19</f>
        <v>23.215815000000006</v>
      </c>
      <c r="C25" s="54" t="s">
        <v>56</v>
      </c>
    </row>
    <row r="26" spans="1:3" x14ac:dyDescent="0.35">
      <c r="A26" s="144" t="s">
        <v>27</v>
      </c>
      <c r="B26" s="145">
        <f>NPV(B22,'H20 Variable Production Cost'!D22:N22)*'BCA-Res Clothes Washer FL'!B11</f>
        <v>10.67330629382873</v>
      </c>
      <c r="C26" s="54" t="s">
        <v>55</v>
      </c>
    </row>
    <row r="27" spans="1:3" x14ac:dyDescent="0.35">
      <c r="A27" s="140" t="s">
        <v>141</v>
      </c>
      <c r="B27" s="141">
        <f>NPV(B22,'Electricity Retail Cost'!D7:N7)*'BCA-Res Clothes Washer FL'!B18</f>
        <v>154.73210344077467</v>
      </c>
      <c r="C27" s="54" t="s">
        <v>233</v>
      </c>
    </row>
    <row r="28" spans="1:3" s="66" customFormat="1" x14ac:dyDescent="0.35">
      <c r="A28" s="73" t="s">
        <v>103</v>
      </c>
      <c r="B28" s="74">
        <f>SUM(B25:B27)/B4</f>
        <v>3.4501778806402696</v>
      </c>
      <c r="C28" s="54"/>
    </row>
    <row r="29" spans="1:3" s="66" customFormat="1" x14ac:dyDescent="0.35">
      <c r="A29" s="53" t="s">
        <v>91</v>
      </c>
      <c r="B29" s="51">
        <f>B18*B21*'CO2 Emission Costs'!B4*'CO2 Emission Costs'!B2</f>
        <v>94.444851546195636</v>
      </c>
      <c r="C29" s="54" t="s">
        <v>80</v>
      </c>
    </row>
    <row r="30" spans="1:3" s="66" customFormat="1" x14ac:dyDescent="0.35">
      <c r="A30" s="77" t="s">
        <v>90</v>
      </c>
      <c r="B30" s="17">
        <f>B11*B21*'CO2 Emission Costs'!B13*'CO2 Emission Costs'!B4*'CO2 Emission Costs'!B2</f>
        <v>1.5640067416050007</v>
      </c>
      <c r="C30" s="82" t="s">
        <v>92</v>
      </c>
    </row>
    <row r="31" spans="1:3" s="66" customFormat="1" x14ac:dyDescent="0.35">
      <c r="A31" s="83" t="s">
        <v>109</v>
      </c>
      <c r="B31" s="75">
        <f>(B18*B21*'Air Quality Costs'!B5)</f>
        <v>42.661557065217394</v>
      </c>
      <c r="C31" s="48" t="s">
        <v>114</v>
      </c>
    </row>
    <row r="32" spans="1:3" x14ac:dyDescent="0.35">
      <c r="A32" s="76" t="s">
        <v>104</v>
      </c>
      <c r="B32" s="78">
        <f>SUM(B25+B26+B27+B29+B30+B31)/B4</f>
        <v>5.9866771554348208</v>
      </c>
      <c r="C32" s="54"/>
    </row>
    <row r="34" spans="1:3" x14ac:dyDescent="0.35">
      <c r="A34" s="117" t="s">
        <v>225</v>
      </c>
      <c r="B34" s="118"/>
      <c r="C34" s="118"/>
    </row>
    <row r="35" spans="1:3" x14ac:dyDescent="0.35">
      <c r="A35" s="9" t="s">
        <v>33</v>
      </c>
      <c r="B35" s="75">
        <f>B4</f>
        <v>54.669999999999959</v>
      </c>
      <c r="C35" s="9"/>
    </row>
    <row r="36" spans="1:3" x14ac:dyDescent="0.35">
      <c r="A36" s="9" t="s">
        <v>42</v>
      </c>
      <c r="B36" s="120">
        <f>B11</f>
        <v>1966.0725000000007</v>
      </c>
      <c r="C36" s="9"/>
    </row>
    <row r="37" spans="1:3" x14ac:dyDescent="0.35">
      <c r="A37" s="9" t="s">
        <v>226</v>
      </c>
      <c r="B37" s="128">
        <f>'Water&amp;Sewer Retail Cost'!E15</f>
        <v>14.473457808312025</v>
      </c>
      <c r="C37" s="9" t="s">
        <v>249</v>
      </c>
    </row>
    <row r="38" spans="1:3" x14ac:dyDescent="0.35">
      <c r="A38" s="9" t="s">
        <v>227</v>
      </c>
      <c r="B38" s="75">
        <f>(B36/1000)*B37</f>
        <v>28.455867376832554</v>
      </c>
      <c r="C38" s="9"/>
    </row>
    <row r="39" spans="1:3" x14ac:dyDescent="0.35">
      <c r="A39" s="9" t="s">
        <v>232</v>
      </c>
      <c r="B39" s="119">
        <f>B18</f>
        <v>237.44836956521738</v>
      </c>
      <c r="C39" s="9"/>
    </row>
    <row r="40" spans="1:3" x14ac:dyDescent="0.35">
      <c r="A40" s="9" t="s">
        <v>234</v>
      </c>
      <c r="B40" s="121">
        <f>'Electricity Retail Cost'!B1</f>
        <v>6.4000000000000001E-2</v>
      </c>
      <c r="C40" s="9" t="s">
        <v>236</v>
      </c>
    </row>
    <row r="41" spans="1:3" x14ac:dyDescent="0.35">
      <c r="A41" s="9" t="s">
        <v>235</v>
      </c>
      <c r="B41" s="75">
        <f>B39*B40</f>
        <v>15.196695652173913</v>
      </c>
      <c r="C41" s="9"/>
    </row>
    <row r="42" spans="1:3" x14ac:dyDescent="0.35">
      <c r="A42" s="146" t="s">
        <v>231</v>
      </c>
      <c r="B42" s="147">
        <f>B35/(B38+B41)</f>
        <v>1.2523892345948295</v>
      </c>
      <c r="C42" s="9"/>
    </row>
  </sheetData>
  <mergeCells count="1">
    <mergeCell ref="A19:C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EECAC-1602-4694-9982-25C6B61B2930}">
  <dimension ref="A1:C42"/>
  <sheetViews>
    <sheetView topLeftCell="A12" workbookViewId="0">
      <selection activeCell="B29" sqref="B29"/>
    </sheetView>
  </sheetViews>
  <sheetFormatPr defaultColWidth="8.81640625" defaultRowHeight="14.5" x14ac:dyDescent="0.35"/>
  <cols>
    <col min="1" max="1" width="51.81640625" style="66" customWidth="1"/>
    <col min="2" max="2" width="25.36328125" style="66" customWidth="1"/>
    <col min="3" max="3" width="104.1796875" style="66" customWidth="1"/>
    <col min="4" max="16384" width="8.81640625" style="66"/>
  </cols>
  <sheetData>
    <row r="1" spans="1:3" x14ac:dyDescent="0.35">
      <c r="A1" s="6" t="s">
        <v>158</v>
      </c>
      <c r="B1" s="67"/>
      <c r="C1" s="70" t="s">
        <v>1</v>
      </c>
    </row>
    <row r="2" spans="1:3" x14ac:dyDescent="0.35">
      <c r="A2" s="48" t="s">
        <v>71</v>
      </c>
      <c r="B2" s="62">
        <v>707.05</v>
      </c>
      <c r="C2" s="48" t="s">
        <v>9</v>
      </c>
    </row>
    <row r="3" spans="1:3" x14ac:dyDescent="0.35">
      <c r="A3" s="48" t="s">
        <v>72</v>
      </c>
      <c r="B3" s="62">
        <v>926.65</v>
      </c>
      <c r="C3" s="48" t="s">
        <v>9</v>
      </c>
    </row>
    <row r="4" spans="1:3" x14ac:dyDescent="0.35">
      <c r="A4" s="18" t="s">
        <v>33</v>
      </c>
      <c r="B4" s="62">
        <f>B3-B2</f>
        <v>219.60000000000002</v>
      </c>
      <c r="C4" s="48" t="s">
        <v>221</v>
      </c>
    </row>
    <row r="5" spans="1:3" x14ac:dyDescent="0.35">
      <c r="A5" s="19"/>
      <c r="B5" s="51"/>
      <c r="C5" s="52"/>
    </row>
    <row r="6" spans="1:3" x14ac:dyDescent="0.35">
      <c r="A6" s="69" t="s">
        <v>32</v>
      </c>
      <c r="B6" s="67"/>
      <c r="C6" s="14"/>
    </row>
    <row r="7" spans="1:3" x14ac:dyDescent="0.35">
      <c r="A7" s="68" t="s">
        <v>94</v>
      </c>
      <c r="B7" s="50">
        <v>4.5</v>
      </c>
      <c r="C7" s="48" t="s">
        <v>154</v>
      </c>
    </row>
    <row r="8" spans="1:3" x14ac:dyDescent="0.35">
      <c r="A8" s="68" t="s">
        <v>93</v>
      </c>
      <c r="B8" s="5">
        <f>6.5*B7</f>
        <v>29.25</v>
      </c>
      <c r="C8" s="83" t="s">
        <v>150</v>
      </c>
    </row>
    <row r="9" spans="1:3" x14ac:dyDescent="0.35">
      <c r="A9" s="68" t="s">
        <v>95</v>
      </c>
      <c r="B9" s="50">
        <f>4.3*B7</f>
        <v>19.349999999999998</v>
      </c>
      <c r="C9" s="48" t="s">
        <v>152</v>
      </c>
    </row>
    <row r="10" spans="1:3" x14ac:dyDescent="0.35">
      <c r="A10" s="68" t="s">
        <v>73</v>
      </c>
      <c r="B10" s="50">
        <f>0.3*2.66*365</f>
        <v>291.27000000000004</v>
      </c>
      <c r="C10" s="48" t="s">
        <v>74</v>
      </c>
    </row>
    <row r="11" spans="1:3" x14ac:dyDescent="0.35">
      <c r="A11" s="19" t="s">
        <v>42</v>
      </c>
      <c r="B11" s="50">
        <f>(B8-B9)*B10</f>
        <v>2883.5730000000012</v>
      </c>
      <c r="C11" s="83"/>
    </row>
    <row r="12" spans="1:3" x14ac:dyDescent="0.35">
      <c r="A12" s="19"/>
      <c r="B12" s="50"/>
      <c r="C12" s="56"/>
    </row>
    <row r="13" spans="1:3" x14ac:dyDescent="0.35">
      <c r="A13" s="98" t="s">
        <v>140</v>
      </c>
      <c r="B13" s="99"/>
      <c r="C13" s="100" t="s">
        <v>1</v>
      </c>
    </row>
    <row r="14" spans="1:3" x14ac:dyDescent="0.35">
      <c r="A14" s="90" t="s">
        <v>94</v>
      </c>
      <c r="B14" s="91">
        <f>B7</f>
        <v>4.5</v>
      </c>
      <c r="C14" s="92" t="s">
        <v>155</v>
      </c>
    </row>
    <row r="15" spans="1:3" x14ac:dyDescent="0.35">
      <c r="A15" s="90" t="s">
        <v>144</v>
      </c>
      <c r="B15" s="93">
        <f>B14/1.57</f>
        <v>2.8662420382165603</v>
      </c>
      <c r="C15" s="83" t="s">
        <v>151</v>
      </c>
    </row>
    <row r="16" spans="1:3" x14ac:dyDescent="0.35">
      <c r="A16" s="90" t="s">
        <v>145</v>
      </c>
      <c r="B16" s="94">
        <f>B14/2.06</f>
        <v>2.1844660194174756</v>
      </c>
      <c r="C16" s="83" t="s">
        <v>153</v>
      </c>
    </row>
    <row r="17" spans="1:3" x14ac:dyDescent="0.35">
      <c r="A17" s="90" t="s">
        <v>73</v>
      </c>
      <c r="B17" s="95">
        <f>B10</f>
        <v>291.27000000000004</v>
      </c>
      <c r="C17" s="57"/>
    </row>
    <row r="18" spans="1:3" x14ac:dyDescent="0.35">
      <c r="A18" s="96" t="s">
        <v>232</v>
      </c>
      <c r="B18" s="97">
        <f>(B15-B16)*B17</f>
        <v>198.58090099560943</v>
      </c>
      <c r="C18" s="56"/>
    </row>
    <row r="19" spans="1:3" x14ac:dyDescent="0.35">
      <c r="A19" s="129"/>
      <c r="B19" s="130"/>
      <c r="C19" s="131"/>
    </row>
    <row r="20" spans="1:3" x14ac:dyDescent="0.35">
      <c r="A20" s="10" t="s">
        <v>30</v>
      </c>
      <c r="B20" s="67"/>
      <c r="C20" s="70" t="s">
        <v>1</v>
      </c>
    </row>
    <row r="21" spans="1:3" x14ac:dyDescent="0.35">
      <c r="A21" s="53" t="s">
        <v>5</v>
      </c>
      <c r="B21" s="50">
        <v>11</v>
      </c>
      <c r="C21" s="58" t="s">
        <v>77</v>
      </c>
    </row>
    <row r="22" spans="1:3" x14ac:dyDescent="0.35">
      <c r="A22" s="53" t="s">
        <v>6</v>
      </c>
      <c r="B22" s="13">
        <v>0.03</v>
      </c>
      <c r="C22" s="59" t="s">
        <v>112</v>
      </c>
    </row>
    <row r="23" spans="1:3" x14ac:dyDescent="0.35">
      <c r="A23" s="53"/>
      <c r="B23" s="13"/>
      <c r="C23" s="60"/>
    </row>
    <row r="24" spans="1:3" x14ac:dyDescent="0.35">
      <c r="A24" s="10" t="s">
        <v>31</v>
      </c>
      <c r="B24" s="67" t="s">
        <v>29</v>
      </c>
      <c r="C24" s="14"/>
    </row>
    <row r="25" spans="1:3" x14ac:dyDescent="0.35">
      <c r="A25" s="142" t="s">
        <v>26</v>
      </c>
      <c r="B25" s="143">
        <f>(B11/365)*'H20 Capacity Cost'!B19</f>
        <v>34.049862000000012</v>
      </c>
      <c r="C25" s="54" t="s">
        <v>56</v>
      </c>
    </row>
    <row r="26" spans="1:3" x14ac:dyDescent="0.35">
      <c r="A26" s="144" t="s">
        <v>27</v>
      </c>
      <c r="B26" s="145">
        <f>NPV(B22,'H20 Variable Production Cost'!D22:N22)*'BCA-Res Clothes Washer TL'!B11</f>
        <v>15.65418256428214</v>
      </c>
      <c r="C26" s="54" t="s">
        <v>55</v>
      </c>
    </row>
    <row r="27" spans="1:3" x14ac:dyDescent="0.35">
      <c r="A27" s="140" t="s">
        <v>141</v>
      </c>
      <c r="B27" s="141">
        <f>NPV(B22,'Electricity Retail Cost'!D7:N7)*'BCA-Res Clothes Washer TL'!B18</f>
        <v>129.40430195615835</v>
      </c>
      <c r="C27" s="54" t="s">
        <v>233</v>
      </c>
    </row>
    <row r="28" spans="1:3" x14ac:dyDescent="0.35">
      <c r="A28" s="73" t="s">
        <v>103</v>
      </c>
      <c r="B28" s="74">
        <f>SUM(B25:B27)/B4</f>
        <v>0.81561177832623177</v>
      </c>
      <c r="C28" s="54"/>
    </row>
    <row r="29" spans="1:3" x14ac:dyDescent="0.35">
      <c r="A29" s="53" t="s">
        <v>91</v>
      </c>
      <c r="B29" s="51">
        <f>B18*B21*'CO2 Emission Costs'!B4*'CO2 Emission Costs'!B2</f>
        <v>78.985354790102647</v>
      </c>
      <c r="C29" s="54" t="s">
        <v>80</v>
      </c>
    </row>
    <row r="30" spans="1:3" x14ac:dyDescent="0.35">
      <c r="A30" s="77" t="s">
        <v>90</v>
      </c>
      <c r="B30" s="17">
        <f>B11*B21*'CO2 Emission Costs'!B13*'CO2 Emission Costs'!B4*'CO2 Emission Costs'!B2</f>
        <v>2.293876554354001</v>
      </c>
      <c r="C30" s="82" t="s">
        <v>92</v>
      </c>
    </row>
    <row r="31" spans="1:3" x14ac:dyDescent="0.35">
      <c r="A31" s="83" t="s">
        <v>109</v>
      </c>
      <c r="B31" s="75">
        <f>(B18*B21*'Air Quality Costs'!B5)</f>
        <v>35.678368545544501</v>
      </c>
      <c r="C31" s="48" t="s">
        <v>114</v>
      </c>
    </row>
    <row r="32" spans="1:3" x14ac:dyDescent="0.35">
      <c r="A32" s="76" t="s">
        <v>104</v>
      </c>
      <c r="B32" s="78">
        <f>SUM(B25+B26+B27+B29+B30+B31)/B4</f>
        <v>1.3482055847470023</v>
      </c>
      <c r="C32" s="54"/>
    </row>
    <row r="34" spans="1:3" x14ac:dyDescent="0.35">
      <c r="A34" s="117" t="s">
        <v>225</v>
      </c>
      <c r="B34" s="118"/>
      <c r="C34" s="118"/>
    </row>
    <row r="35" spans="1:3" x14ac:dyDescent="0.35">
      <c r="A35" s="9" t="s">
        <v>33</v>
      </c>
      <c r="B35" s="75">
        <f>B4</f>
        <v>219.60000000000002</v>
      </c>
      <c r="C35" s="9"/>
    </row>
    <row r="36" spans="1:3" x14ac:dyDescent="0.35">
      <c r="A36" s="9" t="s">
        <v>42</v>
      </c>
      <c r="B36" s="120">
        <f>B11</f>
        <v>2883.5730000000012</v>
      </c>
      <c r="C36" s="9"/>
    </row>
    <row r="37" spans="1:3" x14ac:dyDescent="0.35">
      <c r="A37" s="9" t="s">
        <v>226</v>
      </c>
      <c r="B37" s="128">
        <f>'Water&amp;Sewer Retail Cost'!E15</f>
        <v>14.473457808312025</v>
      </c>
      <c r="C37" s="9" t="s">
        <v>249</v>
      </c>
    </row>
    <row r="38" spans="1:3" x14ac:dyDescent="0.35">
      <c r="A38" s="9" t="s">
        <v>227</v>
      </c>
      <c r="B38" s="75">
        <f>(B36/1000)*B37</f>
        <v>41.735272152687749</v>
      </c>
      <c r="C38" s="9"/>
    </row>
    <row r="39" spans="1:3" x14ac:dyDescent="0.35">
      <c r="A39" s="9" t="s">
        <v>232</v>
      </c>
      <c r="B39" s="119">
        <f>B18</f>
        <v>198.58090099560943</v>
      </c>
      <c r="C39" s="9"/>
    </row>
    <row r="40" spans="1:3" x14ac:dyDescent="0.35">
      <c r="A40" s="9" t="s">
        <v>234</v>
      </c>
      <c r="B40" s="121">
        <f>'Electricity Retail Cost'!B1</f>
        <v>6.4000000000000001E-2</v>
      </c>
      <c r="C40" s="9" t="s">
        <v>236</v>
      </c>
    </row>
    <row r="41" spans="1:3" x14ac:dyDescent="0.35">
      <c r="A41" s="9" t="s">
        <v>235</v>
      </c>
      <c r="B41" s="75">
        <f>B39*B40</f>
        <v>12.709177663719004</v>
      </c>
      <c r="C41" s="9"/>
    </row>
    <row r="42" spans="1:3" x14ac:dyDescent="0.35">
      <c r="A42" s="146" t="s">
        <v>231</v>
      </c>
      <c r="B42" s="147">
        <f>B35/(B38+B41)</f>
        <v>4.0334689897779787</v>
      </c>
      <c r="C42" s="9"/>
    </row>
  </sheetData>
  <mergeCells count="1">
    <mergeCell ref="A19:C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F53B9-B290-450A-A615-3D4A5E3B0ADD}">
  <dimension ref="A1:C45"/>
  <sheetViews>
    <sheetView topLeftCell="A13" zoomScaleNormal="100" workbookViewId="0">
      <selection activeCell="A49" sqref="A49"/>
    </sheetView>
  </sheetViews>
  <sheetFormatPr defaultColWidth="8.81640625" defaultRowHeight="14.5" x14ac:dyDescent="0.35"/>
  <cols>
    <col min="1" max="1" width="65.81640625" style="66" customWidth="1"/>
    <col min="2" max="2" width="22.81640625" style="66" customWidth="1"/>
    <col min="3" max="3" width="116.1796875" style="66" customWidth="1"/>
    <col min="4" max="16384" width="8.81640625" style="66"/>
  </cols>
  <sheetData>
    <row r="1" spans="1:3" x14ac:dyDescent="0.35">
      <c r="A1" s="6" t="s">
        <v>181</v>
      </c>
      <c r="B1" s="67" t="s">
        <v>97</v>
      </c>
      <c r="C1" s="70" t="s">
        <v>1</v>
      </c>
    </row>
    <row r="2" spans="1:3" ht="13.5" customHeight="1" x14ac:dyDescent="0.35">
      <c r="A2" s="48" t="s">
        <v>179</v>
      </c>
      <c r="B2" s="62">
        <v>1400</v>
      </c>
      <c r="C2" s="132" t="s">
        <v>186</v>
      </c>
    </row>
    <row r="3" spans="1:3" x14ac:dyDescent="0.35">
      <c r="A3" s="48" t="s">
        <v>180</v>
      </c>
      <c r="B3" s="62">
        <v>600</v>
      </c>
      <c r="C3" s="133"/>
    </row>
    <row r="4" spans="1:3" x14ac:dyDescent="0.35">
      <c r="A4" s="48" t="s">
        <v>183</v>
      </c>
      <c r="B4" s="62">
        <v>800</v>
      </c>
      <c r="C4" s="133"/>
    </row>
    <row r="5" spans="1:3" x14ac:dyDescent="0.35">
      <c r="A5" s="48" t="s">
        <v>187</v>
      </c>
      <c r="B5" s="62">
        <v>800</v>
      </c>
      <c r="C5" s="133"/>
    </row>
    <row r="6" spans="1:3" x14ac:dyDescent="0.35">
      <c r="A6" s="48" t="s">
        <v>185</v>
      </c>
      <c r="B6" s="62">
        <v>400</v>
      </c>
      <c r="C6" s="134"/>
    </row>
    <row r="7" spans="1:3" x14ac:dyDescent="0.35">
      <c r="A7" s="18" t="s">
        <v>182</v>
      </c>
      <c r="B7" s="62">
        <f>SUM(B2:B6)</f>
        <v>4000</v>
      </c>
      <c r="C7" s="48"/>
    </row>
    <row r="8" spans="1:3" x14ac:dyDescent="0.35">
      <c r="B8" s="61"/>
      <c r="C8" s="48"/>
    </row>
    <row r="9" spans="1:3" x14ac:dyDescent="0.35">
      <c r="A9" s="19"/>
      <c r="B9" s="51"/>
      <c r="C9" s="52"/>
    </row>
    <row r="10" spans="1:3" x14ac:dyDescent="0.35">
      <c r="A10" s="69" t="s">
        <v>188</v>
      </c>
      <c r="B10" s="67"/>
      <c r="C10" s="14"/>
    </row>
    <row r="11" spans="1:3" x14ac:dyDescent="0.35">
      <c r="A11" s="68" t="s">
        <v>200</v>
      </c>
      <c r="B11" s="55">
        <v>350</v>
      </c>
      <c r="C11" s="54" t="s">
        <v>196</v>
      </c>
    </row>
    <row r="12" spans="1:3" x14ac:dyDescent="0.35">
      <c r="A12" s="68" t="s">
        <v>201</v>
      </c>
      <c r="B12" s="105">
        <f>0.03*B11</f>
        <v>10.5</v>
      </c>
      <c r="C12" s="113" t="s">
        <v>211</v>
      </c>
    </row>
    <row r="13" spans="1:3" x14ac:dyDescent="0.35">
      <c r="A13" s="68" t="s">
        <v>202</v>
      </c>
      <c r="B13" s="55">
        <f>(B11*15000)/60/(8.33*10)</f>
        <v>1050.420168067227</v>
      </c>
      <c r="C13" s="113" t="s">
        <v>212</v>
      </c>
    </row>
    <row r="14" spans="1:3" x14ac:dyDescent="0.35">
      <c r="A14" s="68" t="s">
        <v>190</v>
      </c>
      <c r="B14" s="106">
        <v>5.0000000000000002E-5</v>
      </c>
      <c r="C14" s="54"/>
    </row>
    <row r="15" spans="1:3" x14ac:dyDescent="0.35">
      <c r="A15" s="68" t="s">
        <v>203</v>
      </c>
      <c r="B15" s="114">
        <f>B14*B13</f>
        <v>5.2521008403361352E-2</v>
      </c>
      <c r="C15" s="54"/>
    </row>
    <row r="16" spans="1:3" x14ac:dyDescent="0.35">
      <c r="A16" s="68" t="s">
        <v>213</v>
      </c>
      <c r="B16" s="104">
        <v>150</v>
      </c>
      <c r="C16" s="54" t="s">
        <v>197</v>
      </c>
    </row>
    <row r="17" spans="1:3" x14ac:dyDescent="0.35">
      <c r="A17" s="68" t="s">
        <v>191</v>
      </c>
      <c r="B17" s="104">
        <v>120</v>
      </c>
      <c r="C17" s="54" t="s">
        <v>214</v>
      </c>
    </row>
    <row r="18" spans="1:3" x14ac:dyDescent="0.35">
      <c r="A18" s="68" t="s">
        <v>204</v>
      </c>
      <c r="B18" s="104">
        <v>500</v>
      </c>
      <c r="C18" s="54" t="s">
        <v>198</v>
      </c>
    </row>
    <row r="19" spans="1:3" x14ac:dyDescent="0.35">
      <c r="A19" s="68" t="s">
        <v>192</v>
      </c>
      <c r="B19" s="104">
        <v>5</v>
      </c>
      <c r="C19" s="54"/>
    </row>
    <row r="20" spans="1:3" x14ac:dyDescent="0.35">
      <c r="A20" s="68" t="s">
        <v>205</v>
      </c>
      <c r="B20" s="114">
        <f>((B12+B15)-(B19*B15))/(B19-1)</f>
        <v>2.5724789915966388</v>
      </c>
      <c r="C20" s="115" t="s">
        <v>215</v>
      </c>
    </row>
    <row r="21" spans="1:3" x14ac:dyDescent="0.35">
      <c r="A21" s="68" t="s">
        <v>193</v>
      </c>
      <c r="B21" s="114">
        <f>B12+B15+B20</f>
        <v>13.125</v>
      </c>
      <c r="C21" s="20" t="s">
        <v>215</v>
      </c>
    </row>
    <row r="22" spans="1:3" x14ac:dyDescent="0.35">
      <c r="A22" s="68" t="s">
        <v>206</v>
      </c>
      <c r="B22" s="104">
        <v>1500</v>
      </c>
      <c r="C22" s="54" t="s">
        <v>199</v>
      </c>
    </row>
    <row r="23" spans="1:3" x14ac:dyDescent="0.35">
      <c r="A23" s="68" t="s">
        <v>207</v>
      </c>
      <c r="B23" s="104">
        <f>B22/B16</f>
        <v>10</v>
      </c>
      <c r="C23" s="103"/>
    </row>
    <row r="24" spans="1:3" x14ac:dyDescent="0.35">
      <c r="A24" s="68" t="s">
        <v>194</v>
      </c>
      <c r="B24" s="114">
        <f>((B12+B15)-(B23*B15))/(B23-1)</f>
        <v>1.1141456582633054</v>
      </c>
      <c r="C24" s="20" t="s">
        <v>215</v>
      </c>
    </row>
    <row r="25" spans="1:3" x14ac:dyDescent="0.35">
      <c r="A25" s="68" t="s">
        <v>195</v>
      </c>
      <c r="B25" s="114">
        <f>B12+B15+B24</f>
        <v>11.666666666666668</v>
      </c>
      <c r="C25" s="103"/>
    </row>
    <row r="26" spans="1:3" x14ac:dyDescent="0.35">
      <c r="A26" s="19" t="s">
        <v>189</v>
      </c>
      <c r="B26" s="104">
        <f>(B21-B25)*B17*24*60</f>
        <v>251999.99999999977</v>
      </c>
      <c r="C26" s="56"/>
    </row>
    <row r="27" spans="1:3" x14ac:dyDescent="0.35">
      <c r="A27" s="129"/>
      <c r="B27" s="130"/>
      <c r="C27" s="131"/>
    </row>
    <row r="28" spans="1:3" x14ac:dyDescent="0.35">
      <c r="A28" s="10" t="s">
        <v>30</v>
      </c>
      <c r="B28" s="67"/>
      <c r="C28" s="70" t="s">
        <v>1</v>
      </c>
    </row>
    <row r="29" spans="1:3" x14ac:dyDescent="0.35">
      <c r="A29" s="53" t="s">
        <v>5</v>
      </c>
      <c r="B29" s="50">
        <v>10</v>
      </c>
      <c r="C29" s="58"/>
    </row>
    <row r="30" spans="1:3" x14ac:dyDescent="0.35">
      <c r="A30" s="53" t="s">
        <v>6</v>
      </c>
      <c r="B30" s="13">
        <v>0.03</v>
      </c>
      <c r="C30" s="59" t="s">
        <v>112</v>
      </c>
    </row>
    <row r="31" spans="1:3" x14ac:dyDescent="0.35">
      <c r="A31" s="53"/>
      <c r="B31" s="13"/>
      <c r="C31" s="60"/>
    </row>
    <row r="32" spans="1:3" x14ac:dyDescent="0.35">
      <c r="A32" s="10" t="s">
        <v>184</v>
      </c>
      <c r="B32" s="67" t="s">
        <v>29</v>
      </c>
      <c r="C32" s="14"/>
    </row>
    <row r="33" spans="1:3" x14ac:dyDescent="0.35">
      <c r="A33" s="142" t="s">
        <v>26</v>
      </c>
      <c r="B33" s="143">
        <f>(B26/B17)*'H20 Capacity Cost'!B19</f>
        <v>9050.9999999999909</v>
      </c>
      <c r="C33" s="54" t="s">
        <v>56</v>
      </c>
    </row>
    <row r="34" spans="1:3" x14ac:dyDescent="0.35">
      <c r="A34" s="144" t="s">
        <v>27</v>
      </c>
      <c r="B34" s="148">
        <f>NPV(B30,'H20 Variable Production Cost'!D22:M22)*B26</f>
        <v>1228.9909955304395</v>
      </c>
      <c r="C34" s="54" t="s">
        <v>55</v>
      </c>
    </row>
    <row r="35" spans="1:3" x14ac:dyDescent="0.35">
      <c r="A35" s="73" t="s">
        <v>103</v>
      </c>
      <c r="B35" s="74">
        <f>SUM(B33:B34)/B7</f>
        <v>2.5699977488826073</v>
      </c>
      <c r="C35" s="48"/>
    </row>
    <row r="36" spans="1:3" x14ac:dyDescent="0.35">
      <c r="A36" s="83" t="s">
        <v>99</v>
      </c>
      <c r="B36" s="75">
        <f>B26*B29*'CO2 Emission Costs'!B13*'CO2 Emission Costs'!B4*'CO2 Emission Costs'!B2</f>
        <v>182.24135999999982</v>
      </c>
      <c r="C36" s="48" t="s">
        <v>92</v>
      </c>
    </row>
    <row r="37" spans="1:3" x14ac:dyDescent="0.35">
      <c r="A37" s="83" t="s">
        <v>178</v>
      </c>
      <c r="B37" s="75">
        <f>B26*B29*'CO2 Emission Costs'!B13*'Air Quality Costs'!B5</f>
        <v>82.319999999999936</v>
      </c>
      <c r="C37" s="48" t="s">
        <v>114</v>
      </c>
    </row>
    <row r="38" spans="1:3" x14ac:dyDescent="0.35">
      <c r="A38" s="76" t="s">
        <v>104</v>
      </c>
      <c r="B38" s="78">
        <f>(B33+B34+B36+B37)/B7</f>
        <v>2.6361380888826074</v>
      </c>
      <c r="C38" s="48"/>
    </row>
    <row r="40" spans="1:3" x14ac:dyDescent="0.35">
      <c r="A40" s="117" t="s">
        <v>225</v>
      </c>
      <c r="B40" s="118"/>
      <c r="C40" s="118"/>
    </row>
    <row r="41" spans="1:3" x14ac:dyDescent="0.35">
      <c r="A41" s="9" t="s">
        <v>182</v>
      </c>
      <c r="B41" s="75">
        <f>B7</f>
        <v>4000</v>
      </c>
      <c r="C41" s="9"/>
    </row>
    <row r="42" spans="1:3" x14ac:dyDescent="0.35">
      <c r="A42" s="9" t="s">
        <v>189</v>
      </c>
      <c r="B42" s="120">
        <f>B26</f>
        <v>251999.99999999977</v>
      </c>
      <c r="C42" s="9"/>
    </row>
    <row r="43" spans="1:3" x14ac:dyDescent="0.35">
      <c r="A43" s="9" t="s">
        <v>226</v>
      </c>
      <c r="B43" s="128">
        <f>'Water&amp;Sewer Retail Cost'!E15</f>
        <v>14.473457808312025</v>
      </c>
      <c r="C43" s="9" t="s">
        <v>249</v>
      </c>
    </row>
    <row r="44" spans="1:3" x14ac:dyDescent="0.35">
      <c r="A44" s="9" t="s">
        <v>227</v>
      </c>
      <c r="B44" s="75">
        <f>(B42/1000)*B43</f>
        <v>3647.3113676946268</v>
      </c>
      <c r="C44" s="9"/>
    </row>
    <row r="45" spans="1:3" x14ac:dyDescent="0.35">
      <c r="A45" s="146" t="s">
        <v>231</v>
      </c>
      <c r="B45" s="147">
        <f>B41/B44</f>
        <v>1.09669825160233</v>
      </c>
      <c r="C45" s="9"/>
    </row>
  </sheetData>
  <mergeCells count="2">
    <mergeCell ref="A27:C27"/>
    <mergeCell ref="C2:C6"/>
  </mergeCells>
  <hyperlinks>
    <hyperlink ref="C20" r:id="rId1" xr:uid="{F2D86033-4582-4826-9D11-56606E2863A3}"/>
    <hyperlink ref="C21" r:id="rId2" xr:uid="{6D49F106-5B87-4132-B82F-2418D8EA1A72}"/>
    <hyperlink ref="C24" r:id="rId3" xr:uid="{72C6B66A-6B17-46CF-87CC-88ECE9455D36}"/>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68D79-B643-44C7-9931-78FD3187C0B0}">
  <dimension ref="A1:C29"/>
  <sheetViews>
    <sheetView zoomScaleNormal="100" workbookViewId="0">
      <selection activeCell="C14" sqref="C14"/>
    </sheetView>
  </sheetViews>
  <sheetFormatPr defaultColWidth="8.81640625" defaultRowHeight="14.5" x14ac:dyDescent="0.35"/>
  <cols>
    <col min="1" max="1" width="65.81640625" style="66" customWidth="1"/>
    <col min="2" max="2" width="22.81640625" style="66" customWidth="1"/>
    <col min="3" max="3" width="180.81640625" style="66" customWidth="1"/>
    <col min="4" max="16384" width="8.81640625" style="66"/>
  </cols>
  <sheetData>
    <row r="1" spans="1:3" x14ac:dyDescent="0.35">
      <c r="A1" s="6" t="s">
        <v>251</v>
      </c>
      <c r="B1" s="67" t="s">
        <v>97</v>
      </c>
      <c r="C1" s="70" t="s">
        <v>1</v>
      </c>
    </row>
    <row r="2" spans="1:3" x14ac:dyDescent="0.35">
      <c r="A2" s="48" t="s">
        <v>175</v>
      </c>
      <c r="B2" s="62">
        <v>97.31</v>
      </c>
      <c r="C2" s="48" t="s">
        <v>9</v>
      </c>
    </row>
    <row r="3" spans="1:3" x14ac:dyDescent="0.35">
      <c r="A3" s="48" t="s">
        <v>216</v>
      </c>
      <c r="B3" s="62">
        <v>148.76</v>
      </c>
      <c r="C3" s="48" t="s">
        <v>9</v>
      </c>
    </row>
    <row r="4" spans="1:3" x14ac:dyDescent="0.35">
      <c r="A4" s="18" t="s">
        <v>250</v>
      </c>
      <c r="B4" s="61">
        <f>B3-B2</f>
        <v>51.449999999999989</v>
      </c>
      <c r="C4" s="48" t="s">
        <v>221</v>
      </c>
    </row>
    <row r="5" spans="1:3" x14ac:dyDescent="0.35">
      <c r="A5" s="19"/>
      <c r="B5" s="51"/>
      <c r="C5" s="52"/>
    </row>
    <row r="6" spans="1:3" x14ac:dyDescent="0.35">
      <c r="A6" s="69" t="s">
        <v>252</v>
      </c>
      <c r="B6" s="67"/>
      <c r="C6" s="14"/>
    </row>
    <row r="7" spans="1:3" x14ac:dyDescent="0.35">
      <c r="A7" s="53" t="s">
        <v>217</v>
      </c>
      <c r="B7" s="101">
        <v>0.15</v>
      </c>
      <c r="C7" s="48" t="s">
        <v>219</v>
      </c>
    </row>
    <row r="8" spans="1:3" x14ac:dyDescent="0.35">
      <c r="A8" s="53" t="s">
        <v>176</v>
      </c>
      <c r="B8" s="102">
        <v>50500</v>
      </c>
      <c r="C8" s="48" t="s">
        <v>220</v>
      </c>
    </row>
    <row r="9" spans="1:3" x14ac:dyDescent="0.35">
      <c r="A9" s="53" t="s">
        <v>218</v>
      </c>
      <c r="B9" s="102">
        <f>B8*(1-B7)</f>
        <v>42925</v>
      </c>
      <c r="C9" s="56"/>
    </row>
    <row r="10" spans="1:3" x14ac:dyDescent="0.35">
      <c r="A10" s="19" t="s">
        <v>253</v>
      </c>
      <c r="B10" s="102">
        <f>B8-B9</f>
        <v>7575</v>
      </c>
      <c r="C10" s="56"/>
    </row>
    <row r="11" spans="1:3" x14ac:dyDescent="0.35">
      <c r="A11" s="129"/>
      <c r="B11" s="130"/>
      <c r="C11" s="131"/>
    </row>
    <row r="12" spans="1:3" x14ac:dyDescent="0.35">
      <c r="A12" s="10" t="s">
        <v>30</v>
      </c>
      <c r="B12" s="67"/>
      <c r="C12" s="70" t="s">
        <v>1</v>
      </c>
    </row>
    <row r="13" spans="1:3" x14ac:dyDescent="0.35">
      <c r="A13" s="53" t="s">
        <v>5</v>
      </c>
      <c r="B13" s="50">
        <v>15</v>
      </c>
      <c r="C13" s="58" t="s">
        <v>174</v>
      </c>
    </row>
    <row r="14" spans="1:3" x14ac:dyDescent="0.35">
      <c r="A14" s="53" t="s">
        <v>6</v>
      </c>
      <c r="B14" s="13">
        <v>0.03</v>
      </c>
      <c r="C14" s="59" t="s">
        <v>112</v>
      </c>
    </row>
    <row r="15" spans="1:3" x14ac:dyDescent="0.35">
      <c r="A15" s="53"/>
      <c r="B15" s="13"/>
      <c r="C15" s="60"/>
    </row>
    <row r="16" spans="1:3" x14ac:dyDescent="0.35">
      <c r="A16" s="10" t="s">
        <v>161</v>
      </c>
      <c r="B16" s="67" t="s">
        <v>29</v>
      </c>
      <c r="C16" s="14"/>
    </row>
    <row r="17" spans="1:3" x14ac:dyDescent="0.35">
      <c r="A17" s="142" t="s">
        <v>26</v>
      </c>
      <c r="B17" s="143">
        <f>(B10/365)*'H20 Capacity Cost'!B19</f>
        <v>89.447260273972589</v>
      </c>
      <c r="C17" s="54" t="s">
        <v>56</v>
      </c>
    </row>
    <row r="18" spans="1:3" x14ac:dyDescent="0.35">
      <c r="A18" s="144" t="s">
        <v>27</v>
      </c>
      <c r="B18" s="145">
        <f>NPV(B14,'H20 Variable Production Cost'!D22:R22)*'BCA- Irrigation Controller'!B10</f>
        <v>58.830589178383256</v>
      </c>
      <c r="C18" s="54" t="s">
        <v>55</v>
      </c>
    </row>
    <row r="19" spans="1:3" x14ac:dyDescent="0.35">
      <c r="A19" s="73" t="s">
        <v>103</v>
      </c>
      <c r="B19" s="74">
        <f>SUM(B17:B18)/B4</f>
        <v>2.8819795811925339</v>
      </c>
      <c r="C19" s="48"/>
    </row>
    <row r="20" spans="1:3" x14ac:dyDescent="0.35">
      <c r="A20" s="83" t="s">
        <v>99</v>
      </c>
      <c r="B20" s="75">
        <f>B10*B13*'CO2 Emission Costs'!B13*'CO2 Emission Costs'!B4*'CO2 Emission Costs'!B2</f>
        <v>8.2171327499999993</v>
      </c>
      <c r="C20" s="48" t="s">
        <v>92</v>
      </c>
    </row>
    <row r="21" spans="1:3" x14ac:dyDescent="0.35">
      <c r="A21" s="83" t="s">
        <v>178</v>
      </c>
      <c r="B21" s="75">
        <f>B10*B13*'CO2 Emission Costs'!B13*'Air Quality Costs'!B5</f>
        <v>3.7117500000000003</v>
      </c>
      <c r="C21" s="48" t="s">
        <v>114</v>
      </c>
    </row>
    <row r="22" spans="1:3" x14ac:dyDescent="0.35">
      <c r="A22" s="76" t="s">
        <v>104</v>
      </c>
      <c r="B22" s="78">
        <f>(B17+B18+B20+B21)/B4</f>
        <v>3.1138334733208137</v>
      </c>
      <c r="C22" s="48"/>
    </row>
    <row r="24" spans="1:3" x14ac:dyDescent="0.35">
      <c r="A24" s="117" t="s">
        <v>225</v>
      </c>
      <c r="B24" s="118"/>
      <c r="C24" s="118"/>
    </row>
    <row r="25" spans="1:3" x14ac:dyDescent="0.35">
      <c r="A25" s="9" t="s">
        <v>159</v>
      </c>
      <c r="B25" s="75">
        <f>B4</f>
        <v>51.449999999999989</v>
      </c>
      <c r="C25" s="9"/>
    </row>
    <row r="26" spans="1:3" x14ac:dyDescent="0.35">
      <c r="A26" s="9" t="s">
        <v>253</v>
      </c>
      <c r="B26" s="120">
        <f>B10</f>
        <v>7575</v>
      </c>
      <c r="C26" s="9"/>
    </row>
    <row r="27" spans="1:3" x14ac:dyDescent="0.35">
      <c r="A27" s="9" t="s">
        <v>226</v>
      </c>
      <c r="B27" s="128">
        <f>'Water&amp;Sewer Retail Cost'!E15</f>
        <v>14.473457808312025</v>
      </c>
      <c r="C27" s="9" t="s">
        <v>249</v>
      </c>
    </row>
    <row r="28" spans="1:3" x14ac:dyDescent="0.35">
      <c r="A28" s="9" t="s">
        <v>227</v>
      </c>
      <c r="B28" s="75">
        <f>(B26/1000)*B27</f>
        <v>109.63644289796359</v>
      </c>
      <c r="C28" s="9"/>
    </row>
    <row r="29" spans="1:3" x14ac:dyDescent="0.35">
      <c r="A29" s="146" t="s">
        <v>231</v>
      </c>
      <c r="B29" s="147">
        <f>B25/B28</f>
        <v>0.46927826770048953</v>
      </c>
      <c r="C29" s="9"/>
    </row>
  </sheetData>
  <mergeCells count="1">
    <mergeCell ref="A11:C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AF4B9-A7F3-470C-9577-87F2AB061677}">
  <dimension ref="A1:C32"/>
  <sheetViews>
    <sheetView zoomScaleNormal="100" workbookViewId="0">
      <selection activeCell="A32" sqref="A32:B32"/>
    </sheetView>
  </sheetViews>
  <sheetFormatPr defaultColWidth="8.81640625" defaultRowHeight="14.5" x14ac:dyDescent="0.35"/>
  <cols>
    <col min="1" max="1" width="51.81640625" style="66" customWidth="1"/>
    <col min="2" max="2" width="22.81640625" style="66" customWidth="1"/>
    <col min="3" max="3" width="128.453125" style="66" customWidth="1"/>
    <col min="4" max="16384" width="8.81640625" style="66"/>
  </cols>
  <sheetData>
    <row r="1" spans="1:3" x14ac:dyDescent="0.35">
      <c r="A1" s="6" t="s">
        <v>164</v>
      </c>
      <c r="B1" s="67" t="s">
        <v>97</v>
      </c>
      <c r="C1" s="70" t="s">
        <v>1</v>
      </c>
    </row>
    <row r="2" spans="1:3" x14ac:dyDescent="0.35">
      <c r="A2" s="48" t="s">
        <v>165</v>
      </c>
      <c r="B2" s="62">
        <v>3.05</v>
      </c>
      <c r="C2" s="48" t="s">
        <v>9</v>
      </c>
    </row>
    <row r="3" spans="1:3" x14ac:dyDescent="0.35">
      <c r="A3" s="48" t="s">
        <v>166</v>
      </c>
      <c r="B3" s="62">
        <v>5.33</v>
      </c>
      <c r="C3" s="48" t="s">
        <v>9</v>
      </c>
    </row>
    <row r="4" spans="1:3" x14ac:dyDescent="0.35">
      <c r="A4" s="49" t="s">
        <v>167</v>
      </c>
      <c r="B4" s="61">
        <f>$B3-B2</f>
        <v>2.2800000000000002</v>
      </c>
      <c r="C4" s="48" t="s">
        <v>221</v>
      </c>
    </row>
    <row r="5" spans="1:3" x14ac:dyDescent="0.35">
      <c r="A5" s="49" t="s">
        <v>163</v>
      </c>
      <c r="B5" s="50">
        <v>25</v>
      </c>
      <c r="C5" s="48" t="s">
        <v>162</v>
      </c>
    </row>
    <row r="6" spans="1:3" x14ac:dyDescent="0.35">
      <c r="A6" s="18" t="s">
        <v>159</v>
      </c>
      <c r="B6" s="61">
        <f>$B4*B5</f>
        <v>57.000000000000007</v>
      </c>
      <c r="C6" s="48"/>
    </row>
    <row r="7" spans="1:3" x14ac:dyDescent="0.35">
      <c r="A7" s="19"/>
      <c r="B7" s="51"/>
      <c r="C7" s="52"/>
    </row>
    <row r="8" spans="1:3" x14ac:dyDescent="0.35">
      <c r="A8" s="69" t="s">
        <v>160</v>
      </c>
      <c r="B8" s="67"/>
      <c r="C8" s="14"/>
    </row>
    <row r="9" spans="1:3" x14ac:dyDescent="0.35">
      <c r="A9" s="53" t="s">
        <v>170</v>
      </c>
      <c r="B9" s="50" t="s">
        <v>173</v>
      </c>
      <c r="C9" s="54" t="s">
        <v>168</v>
      </c>
    </row>
    <row r="10" spans="1:3" x14ac:dyDescent="0.35">
      <c r="A10" s="53" t="s">
        <v>169</v>
      </c>
      <c r="B10" s="101">
        <v>0.23</v>
      </c>
      <c r="C10" s="48" t="s">
        <v>162</v>
      </c>
    </row>
    <row r="11" spans="1:3" x14ac:dyDescent="0.35">
      <c r="A11" s="53" t="s">
        <v>171</v>
      </c>
      <c r="B11" s="102">
        <f>'BCA- Irrigation Controller'!B9</f>
        <v>42925</v>
      </c>
      <c r="C11" s="48" t="s">
        <v>177</v>
      </c>
    </row>
    <row r="12" spans="1:3" x14ac:dyDescent="0.35">
      <c r="A12" s="53" t="s">
        <v>172</v>
      </c>
      <c r="B12" s="102">
        <f>B11*(1-B10)</f>
        <v>33052.25</v>
      </c>
      <c r="C12" s="56"/>
    </row>
    <row r="13" spans="1:3" x14ac:dyDescent="0.35">
      <c r="A13" s="19" t="s">
        <v>42</v>
      </c>
      <c r="B13" s="102">
        <f>B11-B12</f>
        <v>9872.75</v>
      </c>
      <c r="C13" s="56"/>
    </row>
    <row r="14" spans="1:3" x14ac:dyDescent="0.35">
      <c r="A14" s="129"/>
      <c r="B14" s="130"/>
      <c r="C14" s="131"/>
    </row>
    <row r="15" spans="1:3" x14ac:dyDescent="0.35">
      <c r="A15" s="10" t="s">
        <v>30</v>
      </c>
      <c r="B15" s="67"/>
      <c r="C15" s="70" t="s">
        <v>1</v>
      </c>
    </row>
    <row r="16" spans="1:3" x14ac:dyDescent="0.35">
      <c r="A16" s="53" t="s">
        <v>5</v>
      </c>
      <c r="B16" s="50">
        <v>5</v>
      </c>
      <c r="C16" s="48" t="s">
        <v>162</v>
      </c>
    </row>
    <row r="17" spans="1:3" x14ac:dyDescent="0.35">
      <c r="A17" s="53" t="s">
        <v>6</v>
      </c>
      <c r="B17" s="13">
        <v>0.03</v>
      </c>
      <c r="C17" s="59" t="s">
        <v>112</v>
      </c>
    </row>
    <row r="18" spans="1:3" x14ac:dyDescent="0.35">
      <c r="A18" s="53"/>
      <c r="B18" s="13"/>
      <c r="C18" s="60"/>
    </row>
    <row r="19" spans="1:3" x14ac:dyDescent="0.35">
      <c r="A19" s="10" t="s">
        <v>161</v>
      </c>
      <c r="B19" s="67" t="s">
        <v>29</v>
      </c>
      <c r="C19" s="14"/>
    </row>
    <row r="20" spans="1:3" x14ac:dyDescent="0.35">
      <c r="A20" s="142" t="s">
        <v>26</v>
      </c>
      <c r="B20" s="143">
        <f>(B13/365)*'H20 Capacity Cost'!B19</f>
        <v>116.57959589041094</v>
      </c>
      <c r="C20" s="54" t="s">
        <v>56</v>
      </c>
    </row>
    <row r="21" spans="1:3" x14ac:dyDescent="0.35">
      <c r="A21" s="144" t="s">
        <v>27</v>
      </c>
      <c r="B21" s="145">
        <f>NPV(B17,'H20 Variable Production Cost'!D22:H22)*'BCA-Sprinkler Bodies'!B13</f>
        <v>22.70105473291116</v>
      </c>
      <c r="C21" s="54" t="s">
        <v>55</v>
      </c>
    </row>
    <row r="22" spans="1:3" x14ac:dyDescent="0.35">
      <c r="A22" s="73" t="s">
        <v>103</v>
      </c>
      <c r="B22" s="74">
        <f>SUM(B20:B21)/B6</f>
        <v>2.4435201863740721</v>
      </c>
      <c r="C22" s="48"/>
    </row>
    <row r="23" spans="1:3" x14ac:dyDescent="0.35">
      <c r="A23" s="83" t="s">
        <v>99</v>
      </c>
      <c r="B23" s="75">
        <f>B13*B16*'CO2 Emission Costs'!B13*'CO2 Emission Costs'!B4*'CO2 Emission Costs'!B2</f>
        <v>3.5698876725000002</v>
      </c>
      <c r="C23" s="48" t="s">
        <v>92</v>
      </c>
    </row>
    <row r="24" spans="1:3" x14ac:dyDescent="0.35">
      <c r="A24" s="83" t="s">
        <v>178</v>
      </c>
      <c r="B24" s="75">
        <f>B13*B16*'CO2 Emission Costs'!B13*'Air Quality Costs'!B5</f>
        <v>1.6125491666666669</v>
      </c>
      <c r="C24" s="48" t="s">
        <v>114</v>
      </c>
    </row>
    <row r="25" spans="1:3" x14ac:dyDescent="0.35">
      <c r="A25" s="76" t="s">
        <v>104</v>
      </c>
      <c r="B25" s="78">
        <f>(B20+B21+B23+B24)/B6</f>
        <v>2.5344401309208555</v>
      </c>
      <c r="C25" s="48"/>
    </row>
    <row r="27" spans="1:3" x14ac:dyDescent="0.35">
      <c r="A27" s="117" t="s">
        <v>225</v>
      </c>
      <c r="B27" s="118"/>
      <c r="C27" s="118"/>
    </row>
    <row r="28" spans="1:3" x14ac:dyDescent="0.35">
      <c r="A28" s="9" t="s">
        <v>159</v>
      </c>
      <c r="B28" s="75">
        <f>B6</f>
        <v>57.000000000000007</v>
      </c>
      <c r="C28" s="9"/>
    </row>
    <row r="29" spans="1:3" x14ac:dyDescent="0.35">
      <c r="A29" s="9" t="s">
        <v>42</v>
      </c>
      <c r="B29" s="120">
        <f>B13</f>
        <v>9872.75</v>
      </c>
      <c r="C29" s="9"/>
    </row>
    <row r="30" spans="1:3" x14ac:dyDescent="0.35">
      <c r="A30" s="9" t="s">
        <v>226</v>
      </c>
      <c r="B30" s="128">
        <f>'Water&amp;Sewer Retail Cost'!E15</f>
        <v>14.473457808312025</v>
      </c>
      <c r="C30" s="9" t="s">
        <v>249</v>
      </c>
    </row>
    <row r="31" spans="1:3" x14ac:dyDescent="0.35">
      <c r="A31" s="9" t="s">
        <v>227</v>
      </c>
      <c r="B31" s="75">
        <f>(B29/1000)*B30</f>
        <v>142.89283057701255</v>
      </c>
      <c r="C31" s="9"/>
    </row>
    <row r="32" spans="1:3" x14ac:dyDescent="0.35">
      <c r="A32" s="146" t="s">
        <v>231</v>
      </c>
      <c r="B32" s="147">
        <f>B28/B31</f>
        <v>0.39890034909259969</v>
      </c>
      <c r="C32" s="9"/>
    </row>
  </sheetData>
  <mergeCells count="1">
    <mergeCell ref="A14:C1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64C60-7F64-40F4-A8AE-990AF81CAC05}">
  <sheetPr>
    <tabColor rgb="FF00B0F0"/>
    <pageSetUpPr fitToPage="1"/>
  </sheetPr>
  <dimension ref="A1:D19"/>
  <sheetViews>
    <sheetView topLeftCell="A7" zoomScale="110" zoomScaleNormal="110" workbookViewId="0">
      <selection activeCell="C20" sqref="C20"/>
    </sheetView>
  </sheetViews>
  <sheetFormatPr defaultRowHeight="14.5" x14ac:dyDescent="0.35"/>
  <cols>
    <col min="1" max="1" width="48.81640625" customWidth="1"/>
    <col min="2" max="2" width="13.6328125" customWidth="1"/>
    <col min="3" max="3" width="14.6328125" customWidth="1"/>
    <col min="4" max="4" width="71.54296875" customWidth="1"/>
    <col min="5" max="5" width="62.453125" customWidth="1"/>
  </cols>
  <sheetData>
    <row r="1" spans="1:4" ht="43.5" x14ac:dyDescent="0.35">
      <c r="A1" s="42" t="s">
        <v>119</v>
      </c>
      <c r="B1" s="43" t="s">
        <v>120</v>
      </c>
      <c r="C1" s="43" t="s">
        <v>222</v>
      </c>
      <c r="D1" s="43" t="s">
        <v>50</v>
      </c>
    </row>
    <row r="2" spans="1:4" x14ac:dyDescent="0.35">
      <c r="A2" s="2" t="s">
        <v>223</v>
      </c>
      <c r="B2" s="44">
        <v>24800</v>
      </c>
      <c r="C2" s="45">
        <v>1745</v>
      </c>
      <c r="D2" s="9" t="s">
        <v>224</v>
      </c>
    </row>
    <row r="3" spans="1:4" x14ac:dyDescent="0.35">
      <c r="A3" s="88" t="s">
        <v>62</v>
      </c>
      <c r="B3" s="44">
        <v>141800</v>
      </c>
      <c r="C3" s="45">
        <v>1250</v>
      </c>
      <c r="D3" s="9" t="s">
        <v>63</v>
      </c>
    </row>
    <row r="4" spans="1:4" x14ac:dyDescent="0.35">
      <c r="A4" s="88" t="s">
        <v>64</v>
      </c>
      <c r="B4" s="44">
        <v>437000</v>
      </c>
      <c r="C4" s="45">
        <v>1175</v>
      </c>
      <c r="D4" s="9" t="s">
        <v>126</v>
      </c>
    </row>
    <row r="5" spans="1:4" x14ac:dyDescent="0.35">
      <c r="A5" s="88" t="s">
        <v>65</v>
      </c>
      <c r="B5" s="44">
        <v>944100</v>
      </c>
      <c r="C5" s="45">
        <v>1128</v>
      </c>
      <c r="D5" s="9" t="s">
        <v>57</v>
      </c>
    </row>
    <row r="6" spans="1:4" x14ac:dyDescent="0.35">
      <c r="A6" s="88" t="s">
        <v>66</v>
      </c>
      <c r="B6" s="44">
        <v>85200</v>
      </c>
      <c r="C6" s="45">
        <v>1400</v>
      </c>
      <c r="D6" s="9" t="s">
        <v>58</v>
      </c>
    </row>
    <row r="7" spans="1:4" x14ac:dyDescent="0.35">
      <c r="A7" s="2" t="s">
        <v>28</v>
      </c>
      <c r="B7" s="44">
        <f>SUM(B2:B6)</f>
        <v>1632900</v>
      </c>
      <c r="C7" s="46">
        <f>SUMPRODUCT(B2:B6,C2:C6)/B7</f>
        <v>1174.7356237369097</v>
      </c>
      <c r="D7" s="9"/>
    </row>
    <row r="9" spans="1:4" x14ac:dyDescent="0.35">
      <c r="A9" s="47" t="s">
        <v>210</v>
      </c>
      <c r="B9" s="21"/>
      <c r="C9" s="21"/>
      <c r="D9" s="21"/>
    </row>
    <row r="10" spans="1:4" s="66" customFormat="1" x14ac:dyDescent="0.35">
      <c r="A10" s="47" t="s">
        <v>209</v>
      </c>
      <c r="B10" s="21"/>
      <c r="C10" s="21"/>
      <c r="D10" s="21"/>
    </row>
    <row r="11" spans="1:4" x14ac:dyDescent="0.35">
      <c r="A11" s="85" t="s">
        <v>127</v>
      </c>
      <c r="B11" s="39"/>
      <c r="C11" s="39"/>
    </row>
    <row r="12" spans="1:4" s="66" customFormat="1" x14ac:dyDescent="0.35">
      <c r="B12" s="39"/>
      <c r="C12" s="39"/>
    </row>
    <row r="13" spans="1:4" x14ac:dyDescent="0.35">
      <c r="A13" s="21" t="s">
        <v>110</v>
      </c>
      <c r="B13" s="30"/>
      <c r="C13" s="5"/>
    </row>
    <row r="14" spans="1:4" x14ac:dyDescent="0.35">
      <c r="A14" t="s">
        <v>51</v>
      </c>
      <c r="B14" s="84">
        <v>2.66</v>
      </c>
      <c r="C14" s="5"/>
    </row>
    <row r="15" spans="1:4" x14ac:dyDescent="0.35">
      <c r="A15" t="s">
        <v>111</v>
      </c>
      <c r="B15" s="84">
        <v>64</v>
      </c>
    </row>
    <row r="16" spans="1:4" x14ac:dyDescent="0.35">
      <c r="A16" t="s">
        <v>52</v>
      </c>
      <c r="B16" s="41">
        <f>B15*B14</f>
        <v>170.24</v>
      </c>
    </row>
    <row r="17" spans="1:2" x14ac:dyDescent="0.35">
      <c r="A17" t="s">
        <v>53</v>
      </c>
      <c r="B17" s="5">
        <v>1.6</v>
      </c>
    </row>
    <row r="18" spans="1:2" x14ac:dyDescent="0.35">
      <c r="A18" t="s">
        <v>54</v>
      </c>
      <c r="B18" s="108">
        <f>B16*B17</f>
        <v>272.38400000000001</v>
      </c>
    </row>
    <row r="19" spans="1:2" x14ac:dyDescent="0.35">
      <c r="A19" t="s">
        <v>81</v>
      </c>
      <c r="B19" s="17">
        <f>ROUND(C7/B18,2)</f>
        <v>4.3099999999999996</v>
      </c>
    </row>
  </sheetData>
  <printOptions gridLines="1"/>
  <pageMargins left="0.7" right="0.7" top="0.75" bottom="0.75" header="0.3" footer="0.3"/>
  <pageSetup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16ABD-0F83-414F-BC5B-6C6B0C18B2B0}">
  <sheetPr>
    <tabColor rgb="FF00B0F0"/>
    <pageSetUpPr fitToPage="1"/>
  </sheetPr>
  <dimension ref="A1:R30"/>
  <sheetViews>
    <sheetView zoomScale="90" zoomScaleNormal="90" workbookViewId="0">
      <selection sqref="A1:D16"/>
    </sheetView>
  </sheetViews>
  <sheetFormatPr defaultRowHeight="14.5" x14ac:dyDescent="0.35"/>
  <cols>
    <col min="1" max="1" width="49" customWidth="1"/>
    <col min="2" max="2" width="18.453125" customWidth="1"/>
    <col min="3" max="3" width="15.54296875" customWidth="1"/>
    <col min="4" max="4" width="12.54296875" customWidth="1"/>
    <col min="5" max="5" width="10.81640625" customWidth="1"/>
  </cols>
  <sheetData>
    <row r="1" spans="1:4" ht="43.5" x14ac:dyDescent="0.35">
      <c r="A1" s="79" t="s">
        <v>102</v>
      </c>
      <c r="B1" s="1" t="s">
        <v>0</v>
      </c>
      <c r="C1" s="136" t="s">
        <v>121</v>
      </c>
      <c r="D1" s="137"/>
    </row>
    <row r="2" spans="1:4" x14ac:dyDescent="0.35">
      <c r="A2" s="88" t="s">
        <v>61</v>
      </c>
      <c r="B2" s="3">
        <v>24800</v>
      </c>
      <c r="C2" s="29">
        <v>1.7000000000000001E-4</v>
      </c>
      <c r="D2" s="4" t="s">
        <v>25</v>
      </c>
    </row>
    <row r="3" spans="1:4" x14ac:dyDescent="0.35">
      <c r="A3" s="88" t="s">
        <v>136</v>
      </c>
      <c r="B3" s="3">
        <v>189500</v>
      </c>
      <c r="C3" s="29">
        <v>2.7E-4</v>
      </c>
      <c r="D3" s="4" t="s">
        <v>25</v>
      </c>
    </row>
    <row r="4" spans="1:4" x14ac:dyDescent="0.35">
      <c r="A4" s="88" t="s">
        <v>133</v>
      </c>
      <c r="B4" s="3">
        <v>16400</v>
      </c>
      <c r="C4" s="29">
        <v>4.8000000000000001E-4</v>
      </c>
      <c r="D4" s="4" t="s">
        <v>25</v>
      </c>
    </row>
    <row r="5" spans="1:4" x14ac:dyDescent="0.35">
      <c r="A5" s="88" t="s">
        <v>60</v>
      </c>
      <c r="B5" s="3">
        <v>289600</v>
      </c>
      <c r="C5" s="29">
        <v>5.2999999999999998E-4</v>
      </c>
      <c r="D5" s="4" t="s">
        <v>25</v>
      </c>
    </row>
    <row r="6" spans="1:4" x14ac:dyDescent="0.35">
      <c r="A6" s="88" t="s">
        <v>134</v>
      </c>
      <c r="B6" s="3">
        <v>50000</v>
      </c>
      <c r="C6" s="29">
        <v>4.2999999999999999E-4</v>
      </c>
      <c r="D6" s="4" t="s">
        <v>25</v>
      </c>
    </row>
    <row r="7" spans="1:4" x14ac:dyDescent="0.35">
      <c r="A7" s="88" t="s">
        <v>135</v>
      </c>
      <c r="B7" s="3">
        <v>743000</v>
      </c>
      <c r="C7" s="29">
        <v>3.3E-4</v>
      </c>
      <c r="D7" s="4" t="s">
        <v>25</v>
      </c>
    </row>
    <row r="8" spans="1:4" x14ac:dyDescent="0.35">
      <c r="A8" s="88" t="s">
        <v>62</v>
      </c>
      <c r="B8" s="3">
        <v>141800</v>
      </c>
      <c r="C8" s="29">
        <v>3.8000000000000002E-4</v>
      </c>
      <c r="D8" s="4" t="s">
        <v>25</v>
      </c>
    </row>
    <row r="9" spans="1:4" x14ac:dyDescent="0.35">
      <c r="A9" s="88" t="s">
        <v>241</v>
      </c>
      <c r="B9" s="3">
        <v>77100</v>
      </c>
      <c r="C9" s="29">
        <v>4.6000000000000001E-4</v>
      </c>
      <c r="D9" s="4" t="s">
        <v>25</v>
      </c>
    </row>
    <row r="10" spans="1:4" x14ac:dyDescent="0.35">
      <c r="A10" s="88" t="s">
        <v>137</v>
      </c>
      <c r="B10" s="3">
        <v>60400</v>
      </c>
      <c r="C10" s="29">
        <v>4.4000000000000002E-4</v>
      </c>
      <c r="D10" s="4" t="s">
        <v>25</v>
      </c>
    </row>
    <row r="11" spans="1:4" x14ac:dyDescent="0.35">
      <c r="A11" s="88" t="s">
        <v>64</v>
      </c>
      <c r="B11" s="3">
        <v>437000</v>
      </c>
      <c r="C11" s="29">
        <v>6.4999999999999997E-4</v>
      </c>
      <c r="D11" s="4" t="s">
        <v>25</v>
      </c>
    </row>
    <row r="12" spans="1:4" x14ac:dyDescent="0.35">
      <c r="A12" s="88" t="s">
        <v>65</v>
      </c>
      <c r="B12" s="3">
        <v>944100</v>
      </c>
      <c r="C12" s="29">
        <v>2.4000000000000001E-4</v>
      </c>
      <c r="D12" s="4" t="s">
        <v>25</v>
      </c>
    </row>
    <row r="13" spans="1:4" x14ac:dyDescent="0.35">
      <c r="A13" s="88" t="s">
        <v>138</v>
      </c>
      <c r="B13" s="3">
        <v>155400</v>
      </c>
      <c r="C13" s="29">
        <v>5.0000000000000001E-4</v>
      </c>
      <c r="D13" s="4" t="s">
        <v>25</v>
      </c>
    </row>
    <row r="14" spans="1:4" x14ac:dyDescent="0.35">
      <c r="A14" s="88" t="s">
        <v>139</v>
      </c>
      <c r="B14" s="3">
        <v>218700</v>
      </c>
      <c r="C14" s="29">
        <v>3.4000000000000002E-4</v>
      </c>
      <c r="D14" s="4" t="s">
        <v>25</v>
      </c>
    </row>
    <row r="15" spans="1:4" x14ac:dyDescent="0.35">
      <c r="A15" s="88" t="s">
        <v>66</v>
      </c>
      <c r="B15" s="3">
        <v>85200</v>
      </c>
      <c r="C15" s="29">
        <v>7.6000000000000004E-4</v>
      </c>
      <c r="D15" s="4" t="s">
        <v>25</v>
      </c>
    </row>
    <row r="16" spans="1:4" x14ac:dyDescent="0.35">
      <c r="A16" s="89" t="s">
        <v>28</v>
      </c>
      <c r="B16" s="3">
        <f>SUM(B2:B15)</f>
        <v>3433000</v>
      </c>
      <c r="C16" s="107">
        <f>SUMPRODUCT(B2:B15,C2:C15)/B16</f>
        <v>3.8648441596271483E-4</v>
      </c>
      <c r="D16" s="4" t="s">
        <v>25</v>
      </c>
    </row>
    <row r="18" spans="1:18" s="66" customFormat="1" x14ac:dyDescent="0.35">
      <c r="A18" s="47" t="s">
        <v>122</v>
      </c>
    </row>
    <row r="19" spans="1:18" s="66" customFormat="1" x14ac:dyDescent="0.35"/>
    <row r="20" spans="1:18" x14ac:dyDescent="0.35">
      <c r="B20" s="23">
        <v>2022</v>
      </c>
      <c r="C20" s="23">
        <f>B20+1</f>
        <v>2023</v>
      </c>
      <c r="D20" s="23">
        <f t="shared" ref="D20:P20" si="0">C20+1</f>
        <v>2024</v>
      </c>
      <c r="E20" s="23">
        <f t="shared" si="0"/>
        <v>2025</v>
      </c>
      <c r="F20" s="23">
        <f t="shared" si="0"/>
        <v>2026</v>
      </c>
      <c r="G20" s="23">
        <f t="shared" si="0"/>
        <v>2027</v>
      </c>
      <c r="H20" s="23">
        <f t="shared" si="0"/>
        <v>2028</v>
      </c>
      <c r="I20" s="23">
        <f t="shared" si="0"/>
        <v>2029</v>
      </c>
      <c r="J20" s="23">
        <f t="shared" si="0"/>
        <v>2030</v>
      </c>
      <c r="K20" s="23">
        <f t="shared" si="0"/>
        <v>2031</v>
      </c>
      <c r="L20" s="23">
        <f t="shared" si="0"/>
        <v>2032</v>
      </c>
      <c r="M20" s="23">
        <f t="shared" si="0"/>
        <v>2033</v>
      </c>
      <c r="N20" s="23">
        <f t="shared" si="0"/>
        <v>2034</v>
      </c>
      <c r="O20" s="23">
        <f t="shared" si="0"/>
        <v>2035</v>
      </c>
      <c r="P20" s="23">
        <f t="shared" si="0"/>
        <v>2036</v>
      </c>
      <c r="Q20" s="23">
        <v>2037</v>
      </c>
      <c r="R20" s="23">
        <v>2038</v>
      </c>
    </row>
    <row r="21" spans="1:18" x14ac:dyDescent="0.35">
      <c r="A21" s="23" t="s">
        <v>38</v>
      </c>
      <c r="B21" s="32">
        <v>-1</v>
      </c>
      <c r="C21" s="32">
        <v>0</v>
      </c>
      <c r="D21" s="32">
        <v>1</v>
      </c>
      <c r="E21" s="32">
        <v>2</v>
      </c>
      <c r="F21" s="32">
        <v>3</v>
      </c>
      <c r="G21" s="32">
        <v>4</v>
      </c>
      <c r="H21" s="32">
        <v>5</v>
      </c>
      <c r="I21" s="32">
        <v>6</v>
      </c>
      <c r="J21" s="32">
        <v>7</v>
      </c>
      <c r="K21" s="32">
        <v>8</v>
      </c>
      <c r="L21" s="32">
        <v>9</v>
      </c>
      <c r="M21" s="32">
        <v>10</v>
      </c>
      <c r="N21" s="32">
        <v>11</v>
      </c>
      <c r="O21" s="32">
        <v>12</v>
      </c>
      <c r="P21" s="32">
        <v>13</v>
      </c>
      <c r="Q21" s="5">
        <v>14</v>
      </c>
      <c r="R21" s="5">
        <v>15</v>
      </c>
    </row>
    <row r="22" spans="1:18" x14ac:dyDescent="0.35">
      <c r="A22" s="23" t="s">
        <v>39</v>
      </c>
      <c r="B22" s="36">
        <f>C16*(1+E30)</f>
        <v>4.0727727754150892E-4</v>
      </c>
      <c r="C22" s="37">
        <f>B22*(1+E30)</f>
        <v>4.2918879507324216E-4</v>
      </c>
      <c r="D22" s="37">
        <f>C22*(1+E30)</f>
        <v>4.5227915224818263E-4</v>
      </c>
      <c r="E22" s="37">
        <f>D22*(1+E30)</f>
        <v>4.7661177063913491E-4</v>
      </c>
      <c r="F22" s="37">
        <f>E22*(1+E30)</f>
        <v>5.0225348389952042E-4</v>
      </c>
      <c r="G22" s="37">
        <f>F22*(1+E30)</f>
        <v>5.2927472133331463E-4</v>
      </c>
      <c r="H22" s="37">
        <f>G22*(1+E30)</f>
        <v>5.5774970134104694E-4</v>
      </c>
      <c r="I22" s="37">
        <f>H22*(1+E30)</f>
        <v>5.8775663527319531E-4</v>
      </c>
      <c r="J22" s="37">
        <f>I22*(1+E30)</f>
        <v>6.1937794225089325E-4</v>
      </c>
      <c r="K22" s="37">
        <f>J22*(1+E30)</f>
        <v>6.5270047554399132E-4</v>
      </c>
      <c r="L22" s="37">
        <f>K22*(1+E30)</f>
        <v>6.8781576112825812E-4</v>
      </c>
      <c r="M22" s="37">
        <f>L22*(1+E30)</f>
        <v>7.2482024907695843E-4</v>
      </c>
      <c r="N22" s="37">
        <f>M22*(1+E30)</f>
        <v>7.6381557847729888E-4</v>
      </c>
      <c r="O22" s="37">
        <f>N22*(1+E30)</f>
        <v>8.049088565993776E-4</v>
      </c>
      <c r="P22" s="37">
        <f>O22*(1+E30)</f>
        <v>8.482129530844242E-4</v>
      </c>
      <c r="Q22" s="37">
        <f>P22*(1+E30)</f>
        <v>8.9384680996036625E-4</v>
      </c>
      <c r="R22" s="37">
        <f>Q22*(1+E30)</f>
        <v>9.4193576833623402E-4</v>
      </c>
    </row>
    <row r="24" spans="1:18" ht="42.5" customHeight="1" x14ac:dyDescent="0.35">
      <c r="A24" s="135" t="s">
        <v>123</v>
      </c>
      <c r="B24" s="135"/>
      <c r="C24" s="135"/>
      <c r="D24">
        <v>2008</v>
      </c>
    </row>
    <row r="25" spans="1:18" x14ac:dyDescent="0.35">
      <c r="D25">
        <v>2010</v>
      </c>
      <c r="E25" s="33">
        <v>0.13</v>
      </c>
    </row>
    <row r="26" spans="1:18" x14ac:dyDescent="0.35">
      <c r="D26">
        <v>2012</v>
      </c>
      <c r="E26" s="34">
        <v>0.13700000000000001</v>
      </c>
    </row>
    <row r="27" spans="1:18" x14ac:dyDescent="0.35">
      <c r="D27">
        <v>2014</v>
      </c>
      <c r="E27" s="34">
        <v>0.10299999999999999</v>
      </c>
    </row>
    <row r="28" spans="1:18" x14ac:dyDescent="0.35">
      <c r="D28">
        <v>2016</v>
      </c>
      <c r="E28" s="34">
        <v>9.6000000000000002E-2</v>
      </c>
    </row>
    <row r="29" spans="1:18" x14ac:dyDescent="0.35">
      <c r="D29">
        <v>2018</v>
      </c>
      <c r="E29" s="34">
        <v>7.1999999999999995E-2</v>
      </c>
    </row>
    <row r="30" spans="1:18" x14ac:dyDescent="0.35">
      <c r="D30" s="15" t="s">
        <v>40</v>
      </c>
      <c r="E30" s="35">
        <f>AVERAGE(E25:E29)/2</f>
        <v>5.3799999999999994E-2</v>
      </c>
    </row>
  </sheetData>
  <mergeCells count="2">
    <mergeCell ref="A24:C24"/>
    <mergeCell ref="C1:D1"/>
  </mergeCells>
  <printOptions gridLines="1"/>
  <pageMargins left="0.7" right="0.7" top="0.75" bottom="0.75" header="0.3" footer="0.3"/>
  <pageSetup scale="55"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C261F-21AE-4443-88FC-1D0719408717}">
  <sheetPr>
    <tabColor rgb="FF00B0F0"/>
  </sheetPr>
  <dimension ref="A1:I20"/>
  <sheetViews>
    <sheetView workbookViewId="0">
      <selection activeCell="C21" sqref="C21"/>
    </sheetView>
  </sheetViews>
  <sheetFormatPr defaultRowHeight="14.5" x14ac:dyDescent="0.35"/>
  <cols>
    <col min="1" max="1" width="47.36328125" customWidth="1"/>
    <col min="2" max="2" width="12.1796875" customWidth="1"/>
    <col min="4" max="4" width="9.26953125" customWidth="1"/>
    <col min="5" max="5" width="10.08984375" customWidth="1"/>
    <col min="8" max="8" width="13.1796875" customWidth="1"/>
    <col min="9" max="9" width="15.453125" customWidth="1"/>
  </cols>
  <sheetData>
    <row r="1" spans="1:9" s="66" customFormat="1" x14ac:dyDescent="0.35">
      <c r="A1" s="138" t="s">
        <v>246</v>
      </c>
      <c r="B1" s="138"/>
      <c r="C1" s="138"/>
      <c r="D1" s="138"/>
      <c r="E1" s="138"/>
    </row>
    <row r="2" spans="1:9" s="66" customFormat="1" x14ac:dyDescent="0.35">
      <c r="A2" s="16"/>
    </row>
    <row r="3" spans="1:9" ht="43.5" x14ac:dyDescent="0.35">
      <c r="A3" s="79" t="s">
        <v>102</v>
      </c>
      <c r="B3" s="79" t="s">
        <v>0</v>
      </c>
      <c r="C3" s="116" t="s">
        <v>239</v>
      </c>
      <c r="D3" s="116" t="s">
        <v>238</v>
      </c>
      <c r="E3" s="122" t="s">
        <v>237</v>
      </c>
    </row>
    <row r="4" spans="1:9" x14ac:dyDescent="0.35">
      <c r="A4" s="88" t="s">
        <v>136</v>
      </c>
      <c r="B4" s="3">
        <v>189500</v>
      </c>
      <c r="C4" s="123">
        <v>5.4</v>
      </c>
      <c r="D4" s="123">
        <v>7.15</v>
      </c>
      <c r="E4" s="45">
        <f t="shared" ref="E4:E14" si="0">C4+D4</f>
        <v>12.55</v>
      </c>
    </row>
    <row r="5" spans="1:9" x14ac:dyDescent="0.35">
      <c r="A5" s="88" t="s">
        <v>133</v>
      </c>
      <c r="B5" s="3">
        <v>16400</v>
      </c>
      <c r="C5" s="123">
        <v>6.67</v>
      </c>
      <c r="D5" s="123">
        <v>9.84</v>
      </c>
      <c r="E5" s="45">
        <f t="shared" si="0"/>
        <v>16.509999999999998</v>
      </c>
    </row>
    <row r="6" spans="1:9" x14ac:dyDescent="0.35">
      <c r="A6" s="88" t="s">
        <v>60</v>
      </c>
      <c r="B6" s="3">
        <v>289600</v>
      </c>
      <c r="C6" s="123">
        <v>6.24</v>
      </c>
      <c r="D6" s="123">
        <v>6.63</v>
      </c>
      <c r="E6" s="45">
        <f t="shared" si="0"/>
        <v>12.870000000000001</v>
      </c>
    </row>
    <row r="7" spans="1:9" x14ac:dyDescent="0.35">
      <c r="A7" s="88" t="s">
        <v>134</v>
      </c>
      <c r="B7" s="3">
        <v>50000</v>
      </c>
      <c r="C7" s="123">
        <v>6.22</v>
      </c>
      <c r="D7" s="123">
        <v>8.27</v>
      </c>
      <c r="E7" s="45">
        <f t="shared" si="0"/>
        <v>14.489999999999998</v>
      </c>
    </row>
    <row r="8" spans="1:9" x14ac:dyDescent="0.35">
      <c r="A8" s="88" t="s">
        <v>135</v>
      </c>
      <c r="B8" s="3">
        <v>743000</v>
      </c>
      <c r="C8" s="123">
        <v>3.08</v>
      </c>
      <c r="D8" s="123">
        <v>11.34</v>
      </c>
      <c r="E8" s="45">
        <f t="shared" si="0"/>
        <v>14.42</v>
      </c>
    </row>
    <row r="9" spans="1:9" x14ac:dyDescent="0.35">
      <c r="A9" s="88" t="s">
        <v>62</v>
      </c>
      <c r="B9" s="3">
        <v>141800</v>
      </c>
      <c r="C9" s="123">
        <v>6.23</v>
      </c>
      <c r="D9" s="123">
        <f>10.48*0.8</f>
        <v>8.3840000000000003</v>
      </c>
      <c r="E9" s="45">
        <f t="shared" si="0"/>
        <v>14.614000000000001</v>
      </c>
    </row>
    <row r="10" spans="1:9" x14ac:dyDescent="0.35">
      <c r="A10" s="88" t="s">
        <v>137</v>
      </c>
      <c r="B10" s="3">
        <v>60400</v>
      </c>
      <c r="C10" s="123">
        <v>2.97</v>
      </c>
      <c r="D10" s="123">
        <v>6.84</v>
      </c>
      <c r="E10" s="45">
        <f t="shared" si="0"/>
        <v>9.81</v>
      </c>
      <c r="G10" s="23"/>
      <c r="H10" s="21" t="s">
        <v>244</v>
      </c>
    </row>
    <row r="11" spans="1:9" x14ac:dyDescent="0.35">
      <c r="A11" s="88" t="s">
        <v>64</v>
      </c>
      <c r="B11" s="3">
        <v>437000</v>
      </c>
      <c r="C11" s="123">
        <v>4.63</v>
      </c>
      <c r="D11" s="123">
        <v>8.82</v>
      </c>
      <c r="E11" s="45">
        <f t="shared" si="0"/>
        <v>13.45</v>
      </c>
      <c r="H11" s="125">
        <v>5.34</v>
      </c>
      <c r="I11" s="66" t="s">
        <v>242</v>
      </c>
    </row>
    <row r="12" spans="1:9" x14ac:dyDescent="0.35">
      <c r="A12" s="88" t="s">
        <v>65</v>
      </c>
      <c r="B12" s="3">
        <v>944100</v>
      </c>
      <c r="C12" s="123">
        <v>7.9349999999999996</v>
      </c>
      <c r="D12" s="123">
        <v>8.6300000000000008</v>
      </c>
      <c r="E12" s="45">
        <f t="shared" si="0"/>
        <v>16.565000000000001</v>
      </c>
      <c r="G12" s="124"/>
      <c r="H12" s="22" t="s">
        <v>245</v>
      </c>
    </row>
    <row r="13" spans="1:9" x14ac:dyDescent="0.35">
      <c r="A13" s="88" t="s">
        <v>138</v>
      </c>
      <c r="B13" s="3">
        <v>155400</v>
      </c>
      <c r="C13" s="123">
        <v>3.16</v>
      </c>
      <c r="D13" s="123">
        <v>9.8800000000000008</v>
      </c>
      <c r="E13" s="45">
        <f t="shared" si="0"/>
        <v>13.040000000000001</v>
      </c>
      <c r="H13" s="125">
        <v>13.64</v>
      </c>
      <c r="I13" s="66" t="s">
        <v>242</v>
      </c>
    </row>
    <row r="14" spans="1:9" x14ac:dyDescent="0.35">
      <c r="A14" s="88" t="s">
        <v>139</v>
      </c>
      <c r="B14" s="3">
        <v>218700</v>
      </c>
      <c r="C14" s="123">
        <v>6.76</v>
      </c>
      <c r="D14" s="123">
        <v>6.76</v>
      </c>
      <c r="E14" s="45">
        <f t="shared" si="0"/>
        <v>13.52</v>
      </c>
      <c r="H14" s="125">
        <f>(13.64/748)*1000</f>
        <v>18.235294117647058</v>
      </c>
      <c r="I14" s="16" t="s">
        <v>243</v>
      </c>
    </row>
    <row r="15" spans="1:9" x14ac:dyDescent="0.35">
      <c r="A15" s="89" t="s">
        <v>28</v>
      </c>
      <c r="B15" s="3">
        <f>SUM(B4:B14)</f>
        <v>3245900</v>
      </c>
      <c r="C15" s="127">
        <f>SUMPRODUCT(B4:B14,C4:C14)/B15</f>
        <v>5.5720304075911153</v>
      </c>
      <c r="D15" s="127">
        <f>SUMPRODUCT(B4:B14,D4:D14)/B15</f>
        <v>8.9014274007209089</v>
      </c>
      <c r="E15" s="127">
        <f>SUMPRODUCT(B4:B14,E4:E14)/B15</f>
        <v>14.473457808312025</v>
      </c>
      <c r="H15" s="21" t="s">
        <v>247</v>
      </c>
    </row>
    <row r="16" spans="1:9" x14ac:dyDescent="0.35">
      <c r="H16" s="126">
        <v>3.16</v>
      </c>
      <c r="I16" s="66" t="s">
        <v>242</v>
      </c>
    </row>
    <row r="17" spans="1:9" x14ac:dyDescent="0.35">
      <c r="A17" s="66" t="s">
        <v>240</v>
      </c>
      <c r="H17" s="125">
        <f>(H16/748)*1000</f>
        <v>4.2245989304812834</v>
      </c>
      <c r="I17" s="16" t="s">
        <v>243</v>
      </c>
    </row>
    <row r="18" spans="1:9" x14ac:dyDescent="0.35">
      <c r="H18" s="21" t="s">
        <v>248</v>
      </c>
    </row>
    <row r="19" spans="1:9" x14ac:dyDescent="0.35">
      <c r="H19">
        <v>7.39</v>
      </c>
      <c r="I19" s="66" t="s">
        <v>242</v>
      </c>
    </row>
    <row r="20" spans="1:9" x14ac:dyDescent="0.35">
      <c r="H20" s="125">
        <f>(H19/748)*1000</f>
        <v>9.8796791443850278</v>
      </c>
      <c r="I20" s="16" t="s">
        <v>243</v>
      </c>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BCA-Showerhead BCA</vt:lpstr>
      <vt:lpstr>BCA-Res Clothes Washer FL</vt:lpstr>
      <vt:lpstr>BCA-Res Clothes Washer TL</vt:lpstr>
      <vt:lpstr>BCA-Com HVAC Cooling Towers</vt:lpstr>
      <vt:lpstr>BCA- Irrigation Controller</vt:lpstr>
      <vt:lpstr>BCA-Sprinkler Bodies</vt:lpstr>
      <vt:lpstr>H20 Capacity Cost</vt:lpstr>
      <vt:lpstr>H20 Variable Production Cost</vt:lpstr>
      <vt:lpstr>Water&amp;Sewer Retail Cost</vt:lpstr>
      <vt:lpstr>Natural Gas Retail Cost</vt:lpstr>
      <vt:lpstr>Electricity Retail Cost</vt:lpstr>
      <vt:lpstr>CO2 Emission Costs</vt:lpstr>
      <vt:lpstr>Air Quality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Morris</dc:creator>
  <cp:lastModifiedBy>Andrew Morris</cp:lastModifiedBy>
  <cp:lastPrinted>2021-10-07T17:47:59Z</cp:lastPrinted>
  <dcterms:created xsi:type="dcterms:W3CDTF">2021-09-24T19:52:49Z</dcterms:created>
  <dcterms:modified xsi:type="dcterms:W3CDTF">2022-01-31T21:19:47Z</dcterms:modified>
</cp:coreProperties>
</file>